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60" windowWidth="19100" windowHeight="6800"/>
  </bookViews>
  <sheets>
    <sheet name="структура тарифу на тепл.енергі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P66" i="1"/>
  <c r="O66"/>
  <c r="N66"/>
  <c r="E52"/>
  <c r="I52" s="1"/>
  <c r="J52" s="1"/>
  <c r="K49"/>
  <c r="K53" s="1"/>
  <c r="I49"/>
  <c r="M49" s="1"/>
  <c r="G49"/>
  <c r="G53" s="1"/>
  <c r="E49"/>
  <c r="E69" s="1"/>
  <c r="M48"/>
  <c r="L48"/>
  <c r="L49" s="1"/>
  <c r="L53" s="1"/>
  <c r="J48"/>
  <c r="J49" s="1"/>
  <c r="H48"/>
  <c r="H49" s="1"/>
  <c r="H53" s="1"/>
  <c r="E48"/>
  <c r="E53" s="1"/>
  <c r="M45"/>
  <c r="E44"/>
  <c r="K44" s="1"/>
  <c r="L44" s="1"/>
  <c r="E43"/>
  <c r="I43" s="1"/>
  <c r="J43" s="1"/>
  <c r="E42"/>
  <c r="I42" s="1"/>
  <c r="J42" s="1"/>
  <c r="K41"/>
  <c r="L41" s="1"/>
  <c r="G41"/>
  <c r="H41" s="1"/>
  <c r="F41"/>
  <c r="E41"/>
  <c r="I41" s="1"/>
  <c r="I39"/>
  <c r="J39" s="1"/>
  <c r="E39"/>
  <c r="F39" s="1"/>
  <c r="E38"/>
  <c r="I38" s="1"/>
  <c r="J38" s="1"/>
  <c r="P37"/>
  <c r="K37"/>
  <c r="L37" s="1"/>
  <c r="G37"/>
  <c r="H37" s="1"/>
  <c r="F37"/>
  <c r="E37"/>
  <c r="E36" s="1"/>
  <c r="E35"/>
  <c r="P35" s="1"/>
  <c r="K34"/>
  <c r="L34" s="1"/>
  <c r="G34"/>
  <c r="H34" s="1"/>
  <c r="E34"/>
  <c r="I34" s="1"/>
  <c r="J34" s="1"/>
  <c r="E33"/>
  <c r="P33" s="1"/>
  <c r="K31"/>
  <c r="L31" s="1"/>
  <c r="G31"/>
  <c r="H31" s="1"/>
  <c r="E31"/>
  <c r="I31" s="1"/>
  <c r="J31" s="1"/>
  <c r="I30"/>
  <c r="J30" s="1"/>
  <c r="E30"/>
  <c r="P30" s="1"/>
  <c r="K29"/>
  <c r="L29" s="1"/>
  <c r="I29"/>
  <c r="I28" s="1"/>
  <c r="G29"/>
  <c r="H29" s="1"/>
  <c r="E29"/>
  <c r="E28" s="1"/>
  <c r="P27"/>
  <c r="F27"/>
  <c r="E27"/>
  <c r="K27" s="1"/>
  <c r="L27" s="1"/>
  <c r="K26"/>
  <c r="L26" s="1"/>
  <c r="G26"/>
  <c r="H26" s="1"/>
  <c r="E26"/>
  <c r="I26" s="1"/>
  <c r="J26" s="1"/>
  <c r="E24"/>
  <c r="P24" s="1"/>
  <c r="F22"/>
  <c r="E22"/>
  <c r="K22" s="1"/>
  <c r="L22" s="1"/>
  <c r="K21"/>
  <c r="I21"/>
  <c r="G21"/>
  <c r="H21" s="1"/>
  <c r="E21"/>
  <c r="E20" s="1"/>
  <c r="N13"/>
  <c r="J41" l="1"/>
  <c r="J40" s="1"/>
  <c r="I40"/>
  <c r="F40"/>
  <c r="I24"/>
  <c r="J24" s="1"/>
  <c r="I35"/>
  <c r="J35" s="1"/>
  <c r="F21"/>
  <c r="F20" s="1"/>
  <c r="J21"/>
  <c r="I22"/>
  <c r="J22" s="1"/>
  <c r="F26"/>
  <c r="I27"/>
  <c r="J27" s="1"/>
  <c r="G28"/>
  <c r="F29"/>
  <c r="J29"/>
  <c r="J28" s="1"/>
  <c r="P29"/>
  <c r="F31"/>
  <c r="E32"/>
  <c r="E19" s="1"/>
  <c r="F34"/>
  <c r="P34"/>
  <c r="I37"/>
  <c r="G38"/>
  <c r="K38"/>
  <c r="M41"/>
  <c r="G43"/>
  <c r="K43"/>
  <c r="L43" s="1"/>
  <c r="K24"/>
  <c r="L24" s="1"/>
  <c r="M34"/>
  <c r="G35"/>
  <c r="K35"/>
  <c r="L35" s="1"/>
  <c r="F38"/>
  <c r="F36" s="1"/>
  <c r="G39"/>
  <c r="K39"/>
  <c r="L39" s="1"/>
  <c r="G42"/>
  <c r="G40" s="1"/>
  <c r="K42"/>
  <c r="L42" s="1"/>
  <c r="L40" s="1"/>
  <c r="F43"/>
  <c r="I44"/>
  <c r="F48"/>
  <c r="G52"/>
  <c r="H52" s="1"/>
  <c r="K52"/>
  <c r="L52" s="1"/>
  <c r="J53"/>
  <c r="I33"/>
  <c r="M21"/>
  <c r="G24"/>
  <c r="M26"/>
  <c r="M29"/>
  <c r="G30"/>
  <c r="K30"/>
  <c r="L30" s="1"/>
  <c r="L28" s="1"/>
  <c r="M31"/>
  <c r="G33"/>
  <c r="K33"/>
  <c r="I20"/>
  <c r="L21"/>
  <c r="G22"/>
  <c r="F24"/>
  <c r="G27"/>
  <c r="F30"/>
  <c r="F33"/>
  <c r="F35"/>
  <c r="E40"/>
  <c r="F42"/>
  <c r="F44"/>
  <c r="F52"/>
  <c r="I53"/>
  <c r="H27" l="1"/>
  <c r="M27"/>
  <c r="M44"/>
  <c r="J44"/>
  <c r="H38"/>
  <c r="M38"/>
  <c r="N38" s="1"/>
  <c r="O38"/>
  <c r="G36"/>
  <c r="F49"/>
  <c r="F53"/>
  <c r="L38"/>
  <c r="L36" s="1"/>
  <c r="K36"/>
  <c r="H22"/>
  <c r="M22"/>
  <c r="G32"/>
  <c r="M33"/>
  <c r="H33"/>
  <c r="J33"/>
  <c r="J32" s="1"/>
  <c r="I32"/>
  <c r="I19" s="1"/>
  <c r="I46" s="1"/>
  <c r="M39"/>
  <c r="H39"/>
  <c r="M35"/>
  <c r="H35"/>
  <c r="I36"/>
  <c r="J37"/>
  <c r="J36" s="1"/>
  <c r="J20"/>
  <c r="J19" s="1"/>
  <c r="J46" s="1"/>
  <c r="J55" s="1"/>
  <c r="F32"/>
  <c r="K28"/>
  <c r="G20"/>
  <c r="M24"/>
  <c r="H24"/>
  <c r="M42"/>
  <c r="H42"/>
  <c r="H43"/>
  <c r="M43"/>
  <c r="N43" s="1"/>
  <c r="P43" s="1"/>
  <c r="K32"/>
  <c r="L33"/>
  <c r="L32" s="1"/>
  <c r="H30"/>
  <c r="H28" s="1"/>
  <c r="M30"/>
  <c r="L20"/>
  <c r="L19" s="1"/>
  <c r="L46" s="1"/>
  <c r="L55" s="1"/>
  <c r="M28"/>
  <c r="K40"/>
  <c r="M40" s="1"/>
  <c r="N40" s="1"/>
  <c r="M37"/>
  <c r="F28"/>
  <c r="F19" s="1"/>
  <c r="K20"/>
  <c r="K19" s="1"/>
  <c r="I55" l="1"/>
  <c r="P51"/>
  <c r="M36"/>
  <c r="K46"/>
  <c r="M19"/>
  <c r="M20"/>
  <c r="G19"/>
  <c r="G46" s="1"/>
  <c r="M32"/>
  <c r="H40"/>
  <c r="H32"/>
  <c r="H20"/>
  <c r="F69"/>
  <c r="H36"/>
  <c r="I56" l="1"/>
  <c r="I57"/>
  <c r="I58" s="1"/>
  <c r="H19"/>
  <c r="H46" s="1"/>
  <c r="H55" s="1"/>
  <c r="P52"/>
  <c r="P53" s="1"/>
  <c r="M46"/>
  <c r="E46"/>
  <c r="G55"/>
  <c r="P48"/>
  <c r="G57"/>
  <c r="G58" s="1"/>
  <c r="K55"/>
  <c r="K56" s="1"/>
  <c r="P54"/>
  <c r="K57"/>
  <c r="K58" s="1"/>
  <c r="P55" l="1"/>
  <c r="P56" s="1"/>
  <c r="P49"/>
  <c r="P59" s="1"/>
  <c r="F46"/>
  <c r="E73"/>
  <c r="E55"/>
  <c r="E57"/>
  <c r="E58" s="1"/>
  <c r="G56"/>
  <c r="N55"/>
  <c r="E60" l="1"/>
  <c r="F55"/>
  <c r="F60" s="1"/>
  <c r="E56"/>
  <c r="P50"/>
  <c r="P58" s="1"/>
</calcChain>
</file>

<file path=xl/sharedStrings.xml><?xml version="1.0" encoding="utf-8"?>
<sst xmlns="http://schemas.openxmlformats.org/spreadsheetml/2006/main" count="121" uniqueCount="100">
  <si>
    <t xml:space="preserve">Структура </t>
  </si>
  <si>
    <t>тарифів на теплову енергію на опалювальний період 2025-2026 років</t>
  </si>
  <si>
    <t>по КП " БГВУЖКГ"</t>
  </si>
  <si>
    <t>(без ПДВ)</t>
  </si>
  <si>
    <t>№ з/п</t>
  </si>
  <si>
    <t>Сумарні та середньо-</t>
  </si>
  <si>
    <t>Для потреб</t>
  </si>
  <si>
    <t>Найменування  показників</t>
  </si>
  <si>
    <t>зважені показники</t>
  </si>
  <si>
    <t>населення</t>
  </si>
  <si>
    <t>бюджетних установ</t>
  </si>
  <si>
    <t>інших споживачів</t>
  </si>
  <si>
    <t>тис.грн на</t>
  </si>
  <si>
    <t>рік</t>
  </si>
  <si>
    <t>грн/Гкал</t>
  </si>
  <si>
    <t>1.</t>
  </si>
  <si>
    <t>Виробнича собівартість,у т.ч.:</t>
  </si>
  <si>
    <t>1.1</t>
  </si>
  <si>
    <t>прямі матеріальні витрати, у т.ч.:</t>
  </si>
  <si>
    <t xml:space="preserve">1.1.1 </t>
  </si>
  <si>
    <t>витрати на паливо</t>
  </si>
  <si>
    <t>1.1.2</t>
  </si>
  <si>
    <t>витрати на електроенергію</t>
  </si>
  <si>
    <t>1.1.3</t>
  </si>
  <si>
    <t>вода для технологічних потреб</t>
  </si>
  <si>
    <t>та водовідведення</t>
  </si>
  <si>
    <t>1.1.4</t>
  </si>
  <si>
    <t>матеріали,запасні частини та інші</t>
  </si>
  <si>
    <t>матеріальні ресурси</t>
  </si>
  <si>
    <t>1.2</t>
  </si>
  <si>
    <t>прямі витрати на оплату праці</t>
  </si>
  <si>
    <t>1.3</t>
  </si>
  <si>
    <t>інші прямі витрати, у т.ч.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</si>
  <si>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</si>
  <si>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</si>
  <si>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</si>
  <si>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</si>
  <si>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</si>
  <si>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</si>
  <si>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</si>
  <si>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т.ч.</t>
  </si>
  <si>
    <t>1.4.1</t>
  </si>
  <si>
    <t>витрати на оплату праці</t>
  </si>
  <si>
    <t>1.4.2</t>
  </si>
  <si>
    <t>витрати на соціальні заходи</t>
  </si>
  <si>
    <t>1.4.3</t>
  </si>
  <si>
    <t>інші витрати</t>
  </si>
  <si>
    <t>2</t>
  </si>
  <si>
    <t>Адміністративні витрати, у т.ч.</t>
  </si>
  <si>
    <t>2.1</t>
  </si>
  <si>
    <t>2.2</t>
  </si>
  <si>
    <t>2.3</t>
  </si>
  <si>
    <t>3</t>
  </si>
  <si>
    <t>Витрати на збут, у т.ч.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</si>
  <si>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</si>
  <si>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</si>
  <si>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</si>
  <si>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</si>
  <si>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</si>
  <si>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</si>
  <si>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</si>
  <si>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</si>
  <si>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</si>
  <si>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</si>
  <si>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покриття втрат</t>
  </si>
  <si>
    <t>8</t>
  </si>
  <si>
    <t>Розрахунковий прибуток, у т.ч.</t>
  </si>
  <si>
    <t>насел</t>
  </si>
  <si>
    <t>8.1</t>
  </si>
  <si>
    <t>податок на прибуток</t>
  </si>
  <si>
    <t>под на приб</t>
  </si>
  <si>
    <t>8.2</t>
  </si>
  <si>
    <t>резервний фонд(капітал) та дивіденди</t>
  </si>
  <si>
    <t>разом</t>
  </si>
  <si>
    <t>8.3</t>
  </si>
  <si>
    <t>на розвиток виробництва(виробничі</t>
  </si>
  <si>
    <t>бюд</t>
  </si>
  <si>
    <t>інвестиції)</t>
  </si>
  <si>
    <t>8.4</t>
  </si>
  <si>
    <t>інше використання прибутку</t>
  </si>
  <si>
    <t>9</t>
  </si>
  <si>
    <t>Вартість теплової енергії за відповідними</t>
  </si>
  <si>
    <t>інші</t>
  </si>
  <si>
    <t>тарифами</t>
  </si>
  <si>
    <t>10</t>
  </si>
  <si>
    <t>Тарифи на теплову енергію, грн/Гкал</t>
  </si>
  <si>
    <t>11</t>
  </si>
  <si>
    <t>Паливна складова у %%</t>
  </si>
  <si>
    <t>12</t>
  </si>
  <si>
    <t>Решта витрат,крім паливної складової %%</t>
  </si>
  <si>
    <t>вього</t>
  </si>
  <si>
    <t>13</t>
  </si>
  <si>
    <t>Обсяг реалізації теплової енергії, Гкал</t>
  </si>
  <si>
    <t>14</t>
  </si>
  <si>
    <t>Рівень рентабельності,%</t>
  </si>
  <si>
    <t>Начальник КП "БГВУЖКГ"                                                                       В.А.Камінський</t>
  </si>
  <si>
    <t>нас</t>
  </si>
  <si>
    <t>бюдж</t>
  </si>
  <si>
    <t>інш</t>
  </si>
  <si>
    <t>Головний економіст                                                                                 Г.І.Козакевич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</si>
</sst>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2" fontId="1" fillId="0" borderId="11" xfId="0" applyNumberFormat="1" applyFont="1" applyBorder="1" applyAlignment="1">
      <alignment horizontal="center"/>
    </xf>
    <xf numFmtId="2" fontId="0" fillId="0" borderId="0" xfId="0" applyNumberFormat="1"/>
    <xf numFmtId="49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11" xfId="0" applyBorder="1"/>
    <xf numFmtId="49" fontId="0" fillId="0" borderId="2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2" xfId="0" applyFont="1" applyBorder="1"/>
    <xf numFmtId="0" fontId="0" fillId="0" borderId="10" xfId="0" applyFont="1" applyBorder="1"/>
    <xf numFmtId="0" fontId="1" fillId="0" borderId="2" xfId="0" applyFont="1" applyBorder="1"/>
    <xf numFmtId="0" fontId="1" fillId="0" borderId="10" xfId="0" applyFont="1" applyBorder="1"/>
    <xf numFmtId="2" fontId="1" fillId="0" borderId="10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80;&#1081;%20&#1090;&#1072;&#1088;&#1080;&#1092;%20&#1085;&#1072;%20&#1090;&#1077;&#1087;&#1083;&#1086;%202025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3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2">
          <cell r="I42">
            <v>3993.2253949279998</v>
          </cell>
        </row>
        <row r="44">
          <cell r="I44">
            <v>1161.7443519999999</v>
          </cell>
        </row>
        <row r="45">
          <cell r="I45">
            <v>0</v>
          </cell>
        </row>
        <row r="46">
          <cell r="I46">
            <v>2051.3291020000001</v>
          </cell>
        </row>
        <row r="48">
          <cell r="I48">
            <v>451.29240244000005</v>
          </cell>
        </row>
        <row r="49">
          <cell r="I49">
            <v>68.97372</v>
          </cell>
        </row>
        <row r="50">
          <cell r="I50">
            <v>0</v>
          </cell>
        </row>
        <row r="52">
          <cell r="I52">
            <v>692.60556525935192</v>
          </cell>
        </row>
        <row r="53">
          <cell r="I53">
            <v>152.37423287519186</v>
          </cell>
        </row>
        <row r="54">
          <cell r="I54">
            <v>71.881541865456143</v>
          </cell>
        </row>
        <row r="56">
          <cell r="I56">
            <v>233.77506612074015</v>
          </cell>
        </row>
        <row r="57">
          <cell r="I57">
            <v>51.430513928184801</v>
          </cell>
        </row>
        <row r="58">
          <cell r="I58">
            <v>49.777099951075066</v>
          </cell>
        </row>
        <row r="63">
          <cell r="I63">
            <v>0</v>
          </cell>
        </row>
        <row r="71">
          <cell r="I71">
            <v>0</v>
          </cell>
        </row>
      </sheetData>
      <sheetData sheetId="14">
        <row r="23">
          <cell r="J23">
            <v>0.26</v>
          </cell>
        </row>
        <row r="24">
          <cell r="J24">
            <v>445.9691600000001</v>
          </cell>
        </row>
        <row r="26">
          <cell r="J26">
            <v>98.113215200000027</v>
          </cell>
        </row>
        <row r="27">
          <cell r="J27">
            <v>0</v>
          </cell>
        </row>
        <row r="28">
          <cell r="J28">
            <v>0</v>
          </cell>
        </row>
        <row r="30">
          <cell r="J30">
            <v>256.55396573829506</v>
          </cell>
        </row>
        <row r="31">
          <cell r="J31">
            <v>56.441872451556996</v>
          </cell>
        </row>
        <row r="32">
          <cell r="J32">
            <v>26.626631810147906</v>
          </cell>
        </row>
        <row r="34">
          <cell r="J34">
            <v>86.594621995121344</v>
          </cell>
        </row>
        <row r="35">
          <cell r="J35">
            <v>19.951818861779998</v>
          </cell>
        </row>
        <row r="36">
          <cell r="J36">
            <v>17.537359143098655</v>
          </cell>
        </row>
        <row r="38">
          <cell r="J38">
            <v>1541.9083715336606</v>
          </cell>
        </row>
        <row r="39">
          <cell r="J39">
            <v>339.21984173740532</v>
          </cell>
        </row>
        <row r="40">
          <cell r="J40">
            <v>436.5930991026197</v>
          </cell>
        </row>
        <row r="41">
          <cell r="J41">
            <v>0</v>
          </cell>
        </row>
      </sheetData>
      <sheetData sheetId="15">
        <row r="39">
          <cell r="G39">
            <v>2628.2562278574674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32">
          <cell r="H32">
            <v>29442.377763226999</v>
          </cell>
          <cell r="L32">
            <v>21057.700045844002</v>
          </cell>
          <cell r="T32">
            <v>6954.7863541019997</v>
          </cell>
          <cell r="X32">
            <v>1429.8913632809999</v>
          </cell>
        </row>
        <row r="33">
          <cell r="H33">
            <v>5003.0770750839993</v>
          </cell>
        </row>
        <row r="39">
          <cell r="H39">
            <v>742.94456800000012</v>
          </cell>
        </row>
        <row r="43">
          <cell r="H43">
            <v>182.16</v>
          </cell>
        </row>
        <row r="45">
          <cell r="H45">
            <v>7379.6424271999995</v>
          </cell>
        </row>
        <row r="49">
          <cell r="H49">
            <v>1623.521333984</v>
          </cell>
        </row>
        <row r="51">
          <cell r="H51">
            <v>1983.9508799999999</v>
          </cell>
        </row>
        <row r="53">
          <cell r="H53">
            <v>244.79270000000002</v>
          </cell>
        </row>
        <row r="57">
          <cell r="H57">
            <v>3762.08929924412</v>
          </cell>
        </row>
        <row r="59">
          <cell r="H59">
            <v>827.65964567434003</v>
          </cell>
        </row>
        <row r="60">
          <cell r="H60">
            <v>390.45105508153983</v>
          </cell>
        </row>
        <row r="64">
          <cell r="H64">
            <v>1269.820157002308</v>
          </cell>
        </row>
        <row r="66">
          <cell r="H66">
            <v>279.36043118159995</v>
          </cell>
        </row>
        <row r="67">
          <cell r="H67">
            <v>270.37941181609204</v>
          </cell>
        </row>
        <row r="76">
          <cell r="H76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9:P110"/>
  <sheetViews>
    <sheetView tabSelected="1" topLeftCell="D1" workbookViewId="0">
      <selection activeCell="E10" sqref="E10"/>
    </sheetView>
  </sheetViews>
  <sheetFormatPr defaultRowHeight="14.5"/>
  <cols>
    <col min="3" max="3" width="6.81640625" customWidth="1"/>
    <col min="4" max="4" width="40.26953125" customWidth="1"/>
    <col min="5" max="5" width="10.26953125" customWidth="1"/>
    <col min="6" max="6" width="10.1796875" customWidth="1"/>
    <col min="7" max="7" width="11.7265625" customWidth="1"/>
    <col min="8" max="8" width="12.81640625" customWidth="1"/>
    <col min="9" max="9" width="11.26953125" customWidth="1"/>
    <col min="10" max="10" width="13" customWidth="1"/>
    <col min="11" max="11" width="10.54296875" customWidth="1"/>
    <col min="12" max="12" width="13.7265625" customWidth="1"/>
    <col min="14" max="14" width="11.54296875" bestFit="1" customWidth="1"/>
    <col min="15" max="15" width="13.453125" customWidth="1"/>
    <col min="16" max="16" width="12.7265625" bestFit="1" customWidth="1"/>
  </cols>
  <sheetData>
    <row r="9" spans="3:14" ht="15.5">
      <c r="E9" s="1"/>
      <c r="F9" s="1"/>
      <c r="G9" s="2" t="s">
        <v>0</v>
      </c>
      <c r="H9" s="1"/>
      <c r="I9" s="1"/>
      <c r="J9" s="1"/>
      <c r="K9" s="1"/>
    </row>
    <row r="10" spans="3:14">
      <c r="E10" s="1" t="s">
        <v>1</v>
      </c>
      <c r="F10" s="1"/>
      <c r="G10" s="1"/>
      <c r="H10" s="1"/>
      <c r="I10" s="1"/>
      <c r="J10" s="1"/>
      <c r="K10" s="1"/>
    </row>
    <row r="11" spans="3:14">
      <c r="E11" s="1"/>
      <c r="F11" s="1"/>
      <c r="G11" s="1" t="s">
        <v>2</v>
      </c>
      <c r="H11" s="1"/>
      <c r="I11" s="1"/>
      <c r="J11" s="1"/>
      <c r="K11" s="1"/>
    </row>
    <row r="12" spans="3:14">
      <c r="G12" t="s">
        <v>3</v>
      </c>
    </row>
    <row r="13" spans="3:14">
      <c r="H13" s="3">
        <v>0.82320000000000004</v>
      </c>
      <c r="J13" s="3">
        <v>0.1447</v>
      </c>
      <c r="L13" s="3">
        <v>3.2099999999999997E-2</v>
      </c>
      <c r="N13" s="3">
        <f>H13+J13+L13</f>
        <v>1</v>
      </c>
    </row>
    <row r="14" spans="3:14">
      <c r="C14" s="4" t="s">
        <v>4</v>
      </c>
      <c r="D14" s="5"/>
      <c r="E14" s="6" t="s">
        <v>5</v>
      </c>
      <c r="F14" s="7"/>
      <c r="G14" s="8" t="s">
        <v>6</v>
      </c>
      <c r="H14" s="7"/>
      <c r="I14" s="8" t="s">
        <v>6</v>
      </c>
      <c r="J14" s="7"/>
      <c r="K14" s="8" t="s">
        <v>6</v>
      </c>
      <c r="L14" s="7"/>
    </row>
    <row r="15" spans="3:14">
      <c r="C15" s="9"/>
      <c r="D15" s="5" t="s">
        <v>7</v>
      </c>
      <c r="E15" s="10" t="s">
        <v>8</v>
      </c>
      <c r="F15" s="11"/>
      <c r="G15" s="12" t="s">
        <v>9</v>
      </c>
      <c r="H15" s="11"/>
      <c r="I15" s="12" t="s">
        <v>10</v>
      </c>
      <c r="J15" s="11"/>
      <c r="K15" s="12" t="s">
        <v>11</v>
      </c>
      <c r="L15" s="11"/>
    </row>
    <row r="16" spans="3:14">
      <c r="C16" s="9"/>
      <c r="D16" s="13"/>
      <c r="E16" s="14" t="s">
        <v>12</v>
      </c>
      <c r="F16" s="15"/>
      <c r="G16" s="15" t="s">
        <v>12</v>
      </c>
      <c r="H16" s="15"/>
      <c r="I16" s="15" t="s">
        <v>12</v>
      </c>
      <c r="J16" s="15"/>
      <c r="K16" s="15" t="s">
        <v>12</v>
      </c>
      <c r="L16" s="15"/>
    </row>
    <row r="17" spans="3:16">
      <c r="C17" s="16"/>
      <c r="D17" s="17"/>
      <c r="E17" s="18" t="s">
        <v>13</v>
      </c>
      <c r="F17" s="19" t="s">
        <v>14</v>
      </c>
      <c r="G17" s="19" t="s">
        <v>13</v>
      </c>
      <c r="H17" s="19" t="s">
        <v>14</v>
      </c>
      <c r="I17" s="19" t="s">
        <v>13</v>
      </c>
      <c r="J17" s="19" t="s">
        <v>14</v>
      </c>
      <c r="K17" s="19" t="s">
        <v>13</v>
      </c>
      <c r="L17" s="19" t="s">
        <v>14</v>
      </c>
    </row>
    <row r="18" spans="3:16">
      <c r="C18" s="20">
        <v>1</v>
      </c>
      <c r="D18" s="20">
        <v>2</v>
      </c>
      <c r="E18" s="20">
        <v>3</v>
      </c>
      <c r="F18" s="20">
        <v>4</v>
      </c>
      <c r="G18" s="20">
        <v>5</v>
      </c>
      <c r="H18" s="20">
        <v>6</v>
      </c>
      <c r="I18" s="20">
        <v>7</v>
      </c>
      <c r="J18" s="20">
        <v>8</v>
      </c>
      <c r="K18" s="20">
        <v>9</v>
      </c>
      <c r="L18" s="20">
        <v>10</v>
      </c>
    </row>
    <row r="19" spans="3:16">
      <c r="C19" s="20" t="s">
        <v>15</v>
      </c>
      <c r="D19" s="21" t="s">
        <v>16</v>
      </c>
      <c r="E19" s="22">
        <f t="shared" ref="E19:L19" si="0">E20+E27+E28+E32</f>
        <v>61110.057904062996</v>
      </c>
      <c r="F19" s="22">
        <f t="shared" si="0"/>
        <v>3116.9059422657856</v>
      </c>
      <c r="G19" s="22">
        <f t="shared" si="0"/>
        <v>47126.534337780198</v>
      </c>
      <c r="H19" s="22">
        <f t="shared" si="0"/>
        <v>2919.8596243977818</v>
      </c>
      <c r="I19" s="22">
        <f t="shared" si="0"/>
        <v>11537.099670480968</v>
      </c>
      <c r="J19" s="22">
        <f t="shared" si="0"/>
        <v>4065.221871205415</v>
      </c>
      <c r="K19" s="22">
        <f t="shared" si="0"/>
        <v>2446.423895801835</v>
      </c>
      <c r="L19" s="22">
        <f t="shared" si="0"/>
        <v>3895.5794519137507</v>
      </c>
      <c r="M19" s="23">
        <f>K19+I19+G19</f>
        <v>61110.057904062996</v>
      </c>
    </row>
    <row r="20" spans="3:16">
      <c r="C20" s="24" t="s">
        <v>17</v>
      </c>
      <c r="D20" s="21" t="s">
        <v>18</v>
      </c>
      <c r="E20" s="25">
        <f>E21+E22+E24+E26</f>
        <v>40525.789153238999</v>
      </c>
      <c r="F20" s="26">
        <f>F21+F22+F24+F26</f>
        <v>2067.0095457124858</v>
      </c>
      <c r="G20" s="25">
        <f t="shared" ref="G20:L20" si="1">G21+G22+G24+G26</f>
        <v>30181.56430210188</v>
      </c>
      <c r="H20" s="25">
        <f t="shared" si="1"/>
        <v>1869.9853966605872</v>
      </c>
      <c r="I20" s="25">
        <f t="shared" si="1"/>
        <v>8558.5559822367359</v>
      </c>
      <c r="J20" s="25">
        <f t="shared" si="1"/>
        <v>3015.6997823244315</v>
      </c>
      <c r="K20" s="25">
        <f t="shared" si="1"/>
        <v>1785.668868900385</v>
      </c>
      <c r="L20" s="25">
        <f t="shared" si="1"/>
        <v>2843.4217657649442</v>
      </c>
      <c r="M20" s="23">
        <f>G20+I20+K20</f>
        <v>40525.789153238999</v>
      </c>
    </row>
    <row r="21" spans="3:16">
      <c r="C21" s="24" t="s">
        <v>19</v>
      </c>
      <c r="D21" s="27" t="s">
        <v>20</v>
      </c>
      <c r="E21" s="25">
        <f>[1]виробництво!H32</f>
        <v>29442.377763226999</v>
      </c>
      <c r="F21" s="25">
        <f>E21/E59*1000</f>
        <v>1501.7024259526165</v>
      </c>
      <c r="G21" s="25">
        <f>[1]виробництво!L32</f>
        <v>21057.700045844002</v>
      </c>
      <c r="H21" s="25">
        <f>G21/G59*1000</f>
        <v>1304.6902134971501</v>
      </c>
      <c r="I21" s="25">
        <f>[1]виробництво!T32</f>
        <v>6954.7863541019997</v>
      </c>
      <c r="J21" s="25">
        <f>I21/I59*1000</f>
        <v>2450.5942051099364</v>
      </c>
      <c r="K21" s="25">
        <f>[1]виробництво!X32</f>
        <v>1429.8913632809999</v>
      </c>
      <c r="L21" s="25">
        <f>K21/K59*1000</f>
        <v>2276.8970752882165</v>
      </c>
      <c r="M21" s="23">
        <f>G21+I21+K21</f>
        <v>29442.377763226999</v>
      </c>
      <c r="N21" s="23"/>
    </row>
    <row r="22" spans="3:16">
      <c r="C22" s="24" t="s">
        <v>21</v>
      </c>
      <c r="D22" s="27" t="s">
        <v>22</v>
      </c>
      <c r="E22" s="25">
        <f>[1]виробництво!H33+[1]транспортування!I42</f>
        <v>8996.3024700119986</v>
      </c>
      <c r="F22" s="25">
        <f>E22/E59*1000</f>
        <v>458.85455829909205</v>
      </c>
      <c r="G22" s="25">
        <f>E22*H13</f>
        <v>7405.7561933138777</v>
      </c>
      <c r="H22" s="25">
        <f>G22/G59*1000</f>
        <v>458.84486947421794</v>
      </c>
      <c r="I22" s="25">
        <f>E22*J13</f>
        <v>1301.7649674107361</v>
      </c>
      <c r="J22" s="25">
        <f>I22/I59*1000</f>
        <v>458.69096807989291</v>
      </c>
      <c r="K22" s="25">
        <f>E22*L13</f>
        <v>288.78130928738511</v>
      </c>
      <c r="L22" s="25">
        <f>K22/K59*1000</f>
        <v>459.84284918373424</v>
      </c>
      <c r="M22" s="23">
        <f>G22+I22+K22</f>
        <v>8996.3024700119986</v>
      </c>
      <c r="N22" s="23"/>
    </row>
    <row r="23" spans="3:16">
      <c r="C23" s="28" t="s">
        <v>23</v>
      </c>
      <c r="D23" s="5" t="s">
        <v>24</v>
      </c>
      <c r="E23" s="29"/>
      <c r="F23" s="30"/>
      <c r="G23" s="30"/>
      <c r="H23" s="30"/>
      <c r="I23" s="30"/>
      <c r="J23" s="30"/>
      <c r="K23" s="30"/>
      <c r="L23" s="30"/>
    </row>
    <row r="24" spans="3:16">
      <c r="C24" s="31"/>
      <c r="D24" s="17" t="s">
        <v>25</v>
      </c>
      <c r="E24" s="29">
        <f>[1]виробництво!H39+[1]транспортування!I44</f>
        <v>1904.6889200000001</v>
      </c>
      <c r="F24" s="32">
        <f>E24/E59*1000</f>
        <v>97.148266857084565</v>
      </c>
      <c r="G24" s="32">
        <f>E24*H13</f>
        <v>1567.9399189440001</v>
      </c>
      <c r="H24" s="32">
        <f>G24/G59*1000</f>
        <v>97.146215547955393</v>
      </c>
      <c r="I24" s="32">
        <f>E24*J13</f>
        <v>275.60848672399999</v>
      </c>
      <c r="J24" s="32">
        <f>I24/I59*1000</f>
        <v>97.113631685694145</v>
      </c>
      <c r="K24" s="32">
        <f>E24*L13</f>
        <v>61.140514331999995</v>
      </c>
      <c r="L24" s="32">
        <f>K24/K59*1000</f>
        <v>97.35750689808917</v>
      </c>
      <c r="M24" s="23">
        <f>G24+I24+K24</f>
        <v>1904.6889200000001</v>
      </c>
      <c r="N24" s="23"/>
      <c r="P24" s="23">
        <f>E24-N24</f>
        <v>1904.6889200000001</v>
      </c>
    </row>
    <row r="25" spans="3:16">
      <c r="C25" s="28" t="s">
        <v>26</v>
      </c>
      <c r="D25" s="5" t="s">
        <v>27</v>
      </c>
      <c r="E25" s="33"/>
      <c r="F25" s="30"/>
      <c r="G25" s="30"/>
      <c r="H25" s="30"/>
      <c r="I25" s="30"/>
      <c r="J25" s="30"/>
      <c r="K25" s="30"/>
      <c r="L25" s="30"/>
    </row>
    <row r="26" spans="3:16">
      <c r="C26" s="31"/>
      <c r="D26" s="17" t="s">
        <v>28</v>
      </c>
      <c r="E26" s="32">
        <f>[1]виробництво!H43+[1]постачання!J23+[1]транспортування!I45</f>
        <v>182.42</v>
      </c>
      <c r="F26" s="32">
        <f>E26/E59*1000</f>
        <v>9.3042946036927461</v>
      </c>
      <c r="G26" s="32">
        <f>E26*H13</f>
        <v>150.16814399999998</v>
      </c>
      <c r="H26" s="32">
        <f>G26/G59*1000</f>
        <v>9.3040981412639407</v>
      </c>
      <c r="I26" s="32">
        <f>E26*J13</f>
        <v>26.396173999999998</v>
      </c>
      <c r="J26" s="32">
        <f>I26/I59*1000</f>
        <v>9.3009774489076804</v>
      </c>
      <c r="K26" s="32">
        <f>E26*L13</f>
        <v>5.8556819999999989</v>
      </c>
      <c r="L26" s="32">
        <f>K26/K59*1000</f>
        <v>9.3243343949044561</v>
      </c>
      <c r="M26" s="23">
        <f t="shared" ref="M26:M37" si="2">G26+I26+K26</f>
        <v>182.42</v>
      </c>
      <c r="N26" s="23"/>
    </row>
    <row r="27" spans="3:16">
      <c r="C27" s="24" t="s">
        <v>29</v>
      </c>
      <c r="D27" s="21" t="s">
        <v>30</v>
      </c>
      <c r="E27" s="25">
        <f>[1]виробництво!H45+[1]постачання!J24+[1]транспортування!I46</f>
        <v>9876.9406891999988</v>
      </c>
      <c r="F27" s="25">
        <f>E27/E59*1000</f>
        <v>503.77132965418747</v>
      </c>
      <c r="G27" s="25">
        <f>E27*H13</f>
        <v>8130.6975753494398</v>
      </c>
      <c r="H27" s="25">
        <f>G27/G59*1000</f>
        <v>503.76069240083268</v>
      </c>
      <c r="I27" s="25">
        <f>E27*J13</f>
        <v>1429.1933177272397</v>
      </c>
      <c r="J27" s="25">
        <f>I27/I59*1000</f>
        <v>503.5917257671739</v>
      </c>
      <c r="K27" s="25">
        <f>E27*L13</f>
        <v>317.04979612331994</v>
      </c>
      <c r="L27" s="25">
        <f>K27/K59*1000</f>
        <v>504.85636325369421</v>
      </c>
      <c r="M27" s="23">
        <f t="shared" si="2"/>
        <v>9876.9406891999988</v>
      </c>
      <c r="N27" s="23"/>
      <c r="P27" s="23">
        <f>E27-N27</f>
        <v>9876.9406891999988</v>
      </c>
    </row>
    <row r="28" spans="3:16">
      <c r="C28" s="24" t="s">
        <v>31</v>
      </c>
      <c r="D28" s="21" t="s">
        <v>32</v>
      </c>
      <c r="E28" s="25">
        <f>E29+E30+E31</f>
        <v>4470.6442516240004</v>
      </c>
      <c r="F28" s="25">
        <f t="shared" ref="F28:L28" si="3">F29+F30+F31</f>
        <v>228.02429111618895</v>
      </c>
      <c r="G28" s="25">
        <f>G29+G30+G31</f>
        <v>3680.2343479368769</v>
      </c>
      <c r="H28" s="25">
        <f t="shared" si="3"/>
        <v>228.0194763281832</v>
      </c>
      <c r="I28" s="25">
        <f>I29+I30+I31</f>
        <v>646.90222320999283</v>
      </c>
      <c r="J28" s="25">
        <f t="shared" si="3"/>
        <v>227.94299619802422</v>
      </c>
      <c r="K28" s="25">
        <f t="shared" si="3"/>
        <v>143.50768047713038</v>
      </c>
      <c r="L28" s="25">
        <f t="shared" si="3"/>
        <v>228.51541477250061</v>
      </c>
      <c r="M28" s="23">
        <f t="shared" si="2"/>
        <v>4470.6442516240004</v>
      </c>
      <c r="N28" s="23"/>
    </row>
    <row r="29" spans="3:16">
      <c r="C29" s="24" t="s">
        <v>33</v>
      </c>
      <c r="D29" s="27" t="s">
        <v>34</v>
      </c>
      <c r="E29" s="25">
        <f>[1]виробництво!H49+[1]постачання!J26+[1]транспортування!I48</f>
        <v>2172.9269516240001</v>
      </c>
      <c r="F29" s="25">
        <f>E29/E59*1000</f>
        <v>110.82969252392127</v>
      </c>
      <c r="G29" s="25">
        <f>E29*H13</f>
        <v>1788.7534665768769</v>
      </c>
      <c r="H29" s="25">
        <f>G29/G59*1000</f>
        <v>110.82735232818321</v>
      </c>
      <c r="I29" s="25">
        <f>E29*J13</f>
        <v>314.42252989999281</v>
      </c>
      <c r="J29" s="25">
        <f>I29/I59*1000</f>
        <v>110.79017966877829</v>
      </c>
      <c r="K29" s="25">
        <f>E29*L13</f>
        <v>69.750955147130398</v>
      </c>
      <c r="L29" s="25">
        <f>K29/K59*1000</f>
        <v>111.06839991581273</v>
      </c>
      <c r="M29" s="23">
        <f t="shared" si="2"/>
        <v>2172.9269516240001</v>
      </c>
      <c r="N29" s="23"/>
      <c r="P29" s="23">
        <f>E29-N29</f>
        <v>2172.9269516240001</v>
      </c>
    </row>
    <row r="30" spans="3:16">
      <c r="C30" s="24" t="s">
        <v>35</v>
      </c>
      <c r="D30" s="27" t="s">
        <v>36</v>
      </c>
      <c r="E30" s="25">
        <f>[1]виробництво!H51+[1]постачання!J27+[1]транспортування!I49</f>
        <v>2052.9245999999998</v>
      </c>
      <c r="F30" s="25">
        <f>E30/E59*1000</f>
        <v>104.70899724574109</v>
      </c>
      <c r="G30" s="25">
        <f>E30*H13</f>
        <v>1689.96753072</v>
      </c>
      <c r="H30" s="25">
        <f>G30/G59*1000</f>
        <v>104.70678628996282</v>
      </c>
      <c r="I30" s="25">
        <f>E30*J13</f>
        <v>297.05818961999995</v>
      </c>
      <c r="J30" s="25">
        <f>I30/I59*1000</f>
        <v>104.67166653276954</v>
      </c>
      <c r="K30" s="25">
        <f>E30*L13</f>
        <v>65.898879659999992</v>
      </c>
      <c r="L30" s="25">
        <f>K30/K59*1000</f>
        <v>104.93452175159234</v>
      </c>
      <c r="M30" s="23">
        <f t="shared" si="2"/>
        <v>2052.9245999999998</v>
      </c>
      <c r="N30" s="23"/>
      <c r="P30" s="23">
        <f>N30-E30</f>
        <v>-2052.9245999999998</v>
      </c>
    </row>
    <row r="31" spans="3:16">
      <c r="C31" s="24" t="s">
        <v>37</v>
      </c>
      <c r="D31" s="27" t="s">
        <v>38</v>
      </c>
      <c r="E31" s="25">
        <f>[1]виробництво!H53+[1]постачання!J28+[1]транспортування!I50</f>
        <v>244.79270000000002</v>
      </c>
      <c r="F31" s="25">
        <f>E31/E59*1000</f>
        <v>12.485601346526575</v>
      </c>
      <c r="G31" s="25">
        <f>E31*H13</f>
        <v>201.51335064000003</v>
      </c>
      <c r="H31" s="25">
        <f>G31/G59*1000</f>
        <v>12.485337710037175</v>
      </c>
      <c r="I31" s="25">
        <f>E31*J13</f>
        <v>35.421503690000002</v>
      </c>
      <c r="J31" s="25">
        <f>I31/I59*1000</f>
        <v>12.481149996476393</v>
      </c>
      <c r="K31" s="25">
        <f>E31*L13</f>
        <v>7.8578456699999997</v>
      </c>
      <c r="L31" s="25">
        <f>K31/K59*1000</f>
        <v>12.51249310509554</v>
      </c>
      <c r="M31" s="23">
        <f t="shared" si="2"/>
        <v>244.79270000000002</v>
      </c>
      <c r="N31" s="23"/>
    </row>
    <row r="32" spans="3:16">
      <c r="C32" s="34" t="s">
        <v>39</v>
      </c>
      <c r="D32" s="21" t="s">
        <v>40</v>
      </c>
      <c r="E32" s="22">
        <f>E33+E34+E35</f>
        <v>6236.6838099999995</v>
      </c>
      <c r="F32" s="22">
        <f t="shared" ref="F32:L32" si="4">F33+F34+F35</f>
        <v>318.10077578292356</v>
      </c>
      <c r="G32" s="22">
        <f t="shared" si="4"/>
        <v>5134.0381123919997</v>
      </c>
      <c r="H32" s="22">
        <f t="shared" si="4"/>
        <v>318.09405900817842</v>
      </c>
      <c r="I32" s="22">
        <f t="shared" si="4"/>
        <v>902.44814730699989</v>
      </c>
      <c r="J32" s="22">
        <f t="shared" si="4"/>
        <v>317.98736691578569</v>
      </c>
      <c r="K32" s="22">
        <f t="shared" si="4"/>
        <v>200.19755030099998</v>
      </c>
      <c r="L32" s="22">
        <f t="shared" si="4"/>
        <v>318.78590812261143</v>
      </c>
      <c r="M32" s="23">
        <f t="shared" si="2"/>
        <v>6236.6838099999995</v>
      </c>
      <c r="N32" s="23"/>
      <c r="O32" s="23"/>
    </row>
    <row r="33" spans="3:16">
      <c r="C33" s="24" t="s">
        <v>41</v>
      </c>
      <c r="D33" s="27" t="s">
        <v>42</v>
      </c>
      <c r="E33" s="25">
        <f>[1]виробництво!H57+[1]постачання!J30+[1]транспортування!I52</f>
        <v>4711.2488302417669</v>
      </c>
      <c r="F33" s="25">
        <f>E33/E59*1000</f>
        <v>240.2962781924802</v>
      </c>
      <c r="G33" s="25">
        <f>E33*H13</f>
        <v>3878.3000370550226</v>
      </c>
      <c r="H33" s="25">
        <f>G33/G59*1000</f>
        <v>240.29120427850199</v>
      </c>
      <c r="I33" s="25">
        <f>E33*J13</f>
        <v>681.7177057359836</v>
      </c>
      <c r="J33" s="25">
        <f>I33/I59*1000</f>
        <v>240.21060808174195</v>
      </c>
      <c r="K33" s="25">
        <f>E33*L13</f>
        <v>151.2310874507607</v>
      </c>
      <c r="L33" s="25">
        <f>K33/K59*1000</f>
        <v>240.81383352031958</v>
      </c>
      <c r="M33" s="23">
        <f t="shared" si="2"/>
        <v>4711.248830241766</v>
      </c>
      <c r="N33" s="23"/>
      <c r="P33" s="23">
        <f>N33-E33</f>
        <v>-4711.2488302417669</v>
      </c>
    </row>
    <row r="34" spans="3:16">
      <c r="C34" s="24" t="s">
        <v>43</v>
      </c>
      <c r="D34" s="27" t="s">
        <v>44</v>
      </c>
      <c r="E34" s="25">
        <f>[1]виробництво!H59+[1]постачання!J31+[1]транспортування!I53</f>
        <v>1036.4757510010888</v>
      </c>
      <c r="F34" s="25">
        <f>E34/E59*1000</f>
        <v>52.865232632923025</v>
      </c>
      <c r="G34" s="25">
        <f>E34*H13</f>
        <v>853.22683822409635</v>
      </c>
      <c r="H34" s="25">
        <f>G34/G59*1000</f>
        <v>52.864116370761856</v>
      </c>
      <c r="I34" s="25">
        <f>E34*J13</f>
        <v>149.97804116985756</v>
      </c>
      <c r="J34" s="25">
        <f>I34/I59*1000</f>
        <v>52.846385190224652</v>
      </c>
      <c r="K34" s="25">
        <f>E34*L13</f>
        <v>33.27087160713495</v>
      </c>
      <c r="L34" s="25">
        <f>K34/K59*1000</f>
        <v>52.979094915819985</v>
      </c>
      <c r="M34" s="23">
        <f t="shared" si="2"/>
        <v>1036.4757510010888</v>
      </c>
      <c r="N34" s="23"/>
      <c r="P34" s="23">
        <f>E34-N34</f>
        <v>1036.4757510010888</v>
      </c>
    </row>
    <row r="35" spans="3:16">
      <c r="C35" s="24" t="s">
        <v>45</v>
      </c>
      <c r="D35" s="27" t="s">
        <v>46</v>
      </c>
      <c r="E35" s="25">
        <f>[1]виробництво!H60+[1]постачання!J32+[1]транспортування!I54</f>
        <v>488.95922875714388</v>
      </c>
      <c r="F35" s="25">
        <f>E35/E59*1000</f>
        <v>24.939264957520344</v>
      </c>
      <c r="G35" s="25">
        <f>E35*H13</f>
        <v>402.51123711288085</v>
      </c>
      <c r="H35" s="25">
        <f>G35/G59*1000</f>
        <v>24.938738358914549</v>
      </c>
      <c r="I35" s="25">
        <f>E35*J13</f>
        <v>70.75240040115871</v>
      </c>
      <c r="J35" s="25">
        <f>I35/I59*1000</f>
        <v>24.930373643819134</v>
      </c>
      <c r="K35" s="25">
        <f>E35*L13</f>
        <v>15.695591243104317</v>
      </c>
      <c r="L35" s="25">
        <f>K35/K59*1000</f>
        <v>24.992979686471845</v>
      </c>
      <c r="M35" s="23">
        <f t="shared" si="2"/>
        <v>488.95922875714388</v>
      </c>
      <c r="N35" s="23"/>
      <c r="P35" s="23">
        <f>N35-E35</f>
        <v>-488.95922875714388</v>
      </c>
    </row>
    <row r="36" spans="3:16">
      <c r="C36" s="24" t="s">
        <v>47</v>
      </c>
      <c r="D36" s="21" t="s">
        <v>48</v>
      </c>
      <c r="E36" s="22">
        <f>E37+E38+E39</f>
        <v>2278.6264799999999</v>
      </c>
      <c r="F36" s="22">
        <f t="shared" ref="F36:L36" si="5">F37+F38+F39</f>
        <v>116.22087524227277</v>
      </c>
      <c r="G36" s="22">
        <f t="shared" si="5"/>
        <v>1875.7653183360001</v>
      </c>
      <c r="H36" s="22">
        <f t="shared" si="5"/>
        <v>116.21842121040892</v>
      </c>
      <c r="I36" s="22">
        <f t="shared" si="5"/>
        <v>329.71725165600003</v>
      </c>
      <c r="J36" s="22">
        <f t="shared" si="5"/>
        <v>116.17944032980971</v>
      </c>
      <c r="K36" s="22">
        <f t="shared" si="5"/>
        <v>73.143910007999992</v>
      </c>
      <c r="L36" s="22">
        <f t="shared" si="5"/>
        <v>116.47119428025476</v>
      </c>
      <c r="M36" s="23">
        <f t="shared" si="2"/>
        <v>2278.6264800000004</v>
      </c>
      <c r="N36" s="23"/>
    </row>
    <row r="37" spans="3:16">
      <c r="C37" s="24" t="s">
        <v>49</v>
      </c>
      <c r="D37" s="27" t="s">
        <v>42</v>
      </c>
      <c r="E37" s="35">
        <f>[1]виробництво!H64+[1]постачання!J34+[1]транспортування!I56</f>
        <v>1590.1898451181694</v>
      </c>
      <c r="F37" s="25">
        <f>E37/E59*1000</f>
        <v>81.107306187808291</v>
      </c>
      <c r="G37" s="25">
        <f>E37*H13</f>
        <v>1309.0442805012772</v>
      </c>
      <c r="H37" s="25">
        <f>G37/G59*1000</f>
        <v>81.105593587439728</v>
      </c>
      <c r="I37" s="25">
        <f>E37*J13</f>
        <v>230.10047058859911</v>
      </c>
      <c r="J37" s="25">
        <f>I37/I59*1000</f>
        <v>81.078389918463387</v>
      </c>
      <c r="K37" s="25">
        <f>E37*L13</f>
        <v>51.045094028293235</v>
      </c>
      <c r="L37" s="25">
        <f>K37/K59*1000</f>
        <v>81.281996860339547</v>
      </c>
      <c r="M37" s="23">
        <f t="shared" si="2"/>
        <v>1590.1898451181696</v>
      </c>
      <c r="N37" s="23"/>
      <c r="P37" s="23">
        <f>E37-N37</f>
        <v>1590.1898451181694</v>
      </c>
    </row>
    <row r="38" spans="3:16">
      <c r="C38" s="24" t="s">
        <v>50</v>
      </c>
      <c r="D38" s="27" t="s">
        <v>44</v>
      </c>
      <c r="E38" s="25">
        <f>[1]виробництво!H66+[1]постачання!J35+[1]транспортування!I57</f>
        <v>350.74276397156473</v>
      </c>
      <c r="F38" s="25">
        <f>E38/E59*1000</f>
        <v>17.889562581432454</v>
      </c>
      <c r="G38" s="25">
        <f>E38*H13</f>
        <v>288.73144330139212</v>
      </c>
      <c r="H38" s="25">
        <f>G38/G59*1000</f>
        <v>17.889184838995796</v>
      </c>
      <c r="I38" s="25">
        <f>E38*J13</f>
        <v>50.752477946685417</v>
      </c>
      <c r="J38" s="25">
        <f>I38/I59*1000</f>
        <v>17.883184618282385</v>
      </c>
      <c r="K38" s="25">
        <f>E38*L13</f>
        <v>11.258842723487227</v>
      </c>
      <c r="L38" s="25">
        <f>K38/K59*1000</f>
        <v>17.928093508737625</v>
      </c>
      <c r="M38" s="23">
        <f>G38+I38+K38</f>
        <v>350.74276397156478</v>
      </c>
      <c r="N38" s="23">
        <f>E38-M38</f>
        <v>0</v>
      </c>
      <c r="O38" s="23">
        <f>G38+I38+K38</f>
        <v>350.74276397156478</v>
      </c>
    </row>
    <row r="39" spans="3:16">
      <c r="C39" s="24" t="s">
        <v>51</v>
      </c>
      <c r="D39" s="27" t="s">
        <v>46</v>
      </c>
      <c r="E39" s="25">
        <f>[1]виробництво!H67+[1]постачання!J36+[1]транспортування!I58</f>
        <v>337.69387091026573</v>
      </c>
      <c r="F39" s="25">
        <f>E39/E59*1000</f>
        <v>17.224006473032016</v>
      </c>
      <c r="G39" s="25">
        <f>E39*H13</f>
        <v>277.98959453333077</v>
      </c>
      <c r="H39" s="25">
        <f>G39/G59*1000</f>
        <v>17.223642783973403</v>
      </c>
      <c r="I39" s="25">
        <f>E39*J13</f>
        <v>48.864303120715448</v>
      </c>
      <c r="J39" s="25">
        <f>I39/I59*1000</f>
        <v>17.217865793063936</v>
      </c>
      <c r="K39" s="25">
        <f>E39*L13</f>
        <v>10.839973256219528</v>
      </c>
      <c r="L39" s="25">
        <f>K39/K59*1000</f>
        <v>17.261103911177592</v>
      </c>
      <c r="M39" s="23">
        <f>G39+I39+K39</f>
        <v>337.69387091026579</v>
      </c>
      <c r="N39" s="23"/>
    </row>
    <row r="40" spans="3:16">
      <c r="C40" s="24" t="s">
        <v>52</v>
      </c>
      <c r="D40" s="21" t="s">
        <v>53</v>
      </c>
      <c r="E40" s="22">
        <f>E41+E42+E43</f>
        <v>2317.7213123736856</v>
      </c>
      <c r="F40" s="22">
        <f t="shared" ref="F40:L40" si="6">F41+F42+F43</f>
        <v>118.21489913157633</v>
      </c>
      <c r="G40" s="22">
        <f t="shared" si="6"/>
        <v>1907.948184346018</v>
      </c>
      <c r="H40" s="22">
        <f t="shared" si="6"/>
        <v>118.21240299541623</v>
      </c>
      <c r="I40" s="22">
        <f t="shared" si="6"/>
        <v>335.3742739004723</v>
      </c>
      <c r="J40" s="22">
        <f t="shared" si="6"/>
        <v>118.1727533123581</v>
      </c>
      <c r="K40" s="22">
        <f t="shared" si="6"/>
        <v>74.398854127195307</v>
      </c>
      <c r="L40" s="22">
        <f t="shared" si="6"/>
        <v>118.46951294139379</v>
      </c>
      <c r="M40" s="23">
        <f>G40+I40+K40</f>
        <v>2317.7213123736856</v>
      </c>
      <c r="N40" s="23">
        <f>M40-E40</f>
        <v>0</v>
      </c>
    </row>
    <row r="41" spans="3:16">
      <c r="C41" s="24" t="s">
        <v>54</v>
      </c>
      <c r="D41" s="27" t="s">
        <v>42</v>
      </c>
      <c r="E41" s="25">
        <f>[1]постачання!J38</f>
        <v>1541.9083715336606</v>
      </c>
      <c r="F41" s="25">
        <f>E41/E59*1000</f>
        <v>78.644719551854564</v>
      </c>
      <c r="G41" s="25">
        <f>E41*H13</f>
        <v>1269.2989714465095</v>
      </c>
      <c r="H41" s="25">
        <f>G41/G59*1000</f>
        <v>78.643058949597858</v>
      </c>
      <c r="I41" s="25">
        <f>E41*J13</f>
        <v>223.11414136092068</v>
      </c>
      <c r="J41" s="25">
        <f>I41/I59*1000</f>
        <v>78.616681240634492</v>
      </c>
      <c r="K41" s="25">
        <f>E41*L13</f>
        <v>49.495258726230496</v>
      </c>
      <c r="L41" s="25">
        <f>K41/K59*1000</f>
        <v>78.814106251959387</v>
      </c>
      <c r="M41" s="23">
        <f t="shared" ref="M41:M46" si="7">G41+I41+K41</f>
        <v>1541.9083715336608</v>
      </c>
      <c r="N41" s="23"/>
    </row>
    <row r="42" spans="3:16">
      <c r="C42" s="24" t="s">
        <v>55</v>
      </c>
      <c r="D42" s="27" t="s">
        <v>44</v>
      </c>
      <c r="E42" s="25">
        <f>[1]постачання!J39</f>
        <v>339.21984173740532</v>
      </c>
      <c r="F42" s="25">
        <f>E42/E59*1000</f>
        <v>17.301838301408004</v>
      </c>
      <c r="G42" s="25">
        <f>E42*H13</f>
        <v>279.24577371823204</v>
      </c>
      <c r="H42" s="25">
        <f>G42/G59*1000</f>
        <v>17.301472968911526</v>
      </c>
      <c r="I42" s="25">
        <f>E42*J13</f>
        <v>49.085111099402546</v>
      </c>
      <c r="J42" s="25">
        <f>I42/I59*1000</f>
        <v>17.295669872939584</v>
      </c>
      <c r="K42" s="25">
        <f>E42*L13</f>
        <v>10.88895691977071</v>
      </c>
      <c r="L42" s="25">
        <f>K42/K59*1000</f>
        <v>17.339103375431066</v>
      </c>
      <c r="M42" s="23">
        <f t="shared" si="7"/>
        <v>339.21984173740526</v>
      </c>
      <c r="N42" s="23"/>
    </row>
    <row r="43" spans="3:16">
      <c r="C43" s="24" t="s">
        <v>56</v>
      </c>
      <c r="D43" s="27" t="s">
        <v>46</v>
      </c>
      <c r="E43" s="25">
        <f>[1]постачання!J40</f>
        <v>436.5930991026197</v>
      </c>
      <c r="F43" s="25">
        <f>E43/E59*1000</f>
        <v>22.268341278313766</v>
      </c>
      <c r="G43" s="25">
        <f>E43*H13</f>
        <v>359.40343918127655</v>
      </c>
      <c r="H43" s="25">
        <f>G43/G59*1000</f>
        <v>22.26787107690685</v>
      </c>
      <c r="I43" s="25">
        <f>E43*J13</f>
        <v>63.175021440149067</v>
      </c>
      <c r="J43" s="25">
        <f>I43/I59*1000</f>
        <v>22.260402198784025</v>
      </c>
      <c r="K43" s="25">
        <f>E43*L13</f>
        <v>14.014638481194091</v>
      </c>
      <c r="L43" s="25">
        <f>K43/K59*1000</f>
        <v>22.316303314003328</v>
      </c>
      <c r="M43" s="23">
        <f t="shared" si="7"/>
        <v>436.5930991026197</v>
      </c>
      <c r="N43" s="23">
        <f>E43-M43</f>
        <v>0</v>
      </c>
      <c r="P43" s="23">
        <f>N43-E43</f>
        <v>-436.5930991026197</v>
      </c>
    </row>
    <row r="44" spans="3:16">
      <c r="C44" s="24" t="s">
        <v>57</v>
      </c>
      <c r="D44" s="21" t="s">
        <v>58</v>
      </c>
      <c r="E44" s="22">
        <f>[1]виробництво!H76+[1]постачання!J41+[1]транспортування!I63</f>
        <v>0</v>
      </c>
      <c r="F44" s="22">
        <f>E44/E59*1000</f>
        <v>0</v>
      </c>
      <c r="G44" s="22">
        <v>0</v>
      </c>
      <c r="H44" s="22">
        <v>0</v>
      </c>
      <c r="I44" s="22">
        <f>E44*J13</f>
        <v>0</v>
      </c>
      <c r="J44" s="22">
        <f>I44/I59*1000</f>
        <v>0</v>
      </c>
      <c r="K44" s="22">
        <f>E44*L13</f>
        <v>0</v>
      </c>
      <c r="L44" s="22">
        <f>K44/K59*1000</f>
        <v>0</v>
      </c>
      <c r="M44" s="23">
        <f>G44+I44+K44</f>
        <v>0</v>
      </c>
      <c r="N44" s="23"/>
    </row>
    <row r="45" spans="3:16">
      <c r="C45" s="24" t="s">
        <v>59</v>
      </c>
      <c r="D45" s="21" t="s">
        <v>60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23">
        <f t="shared" si="7"/>
        <v>0</v>
      </c>
    </row>
    <row r="46" spans="3:16">
      <c r="C46" s="24" t="s">
        <v>61</v>
      </c>
      <c r="D46" s="21" t="s">
        <v>62</v>
      </c>
      <c r="E46" s="22">
        <f>G46+I46+K46</f>
        <v>65706.40569643669</v>
      </c>
      <c r="F46" s="22">
        <f>E46/E59*1000</f>
        <v>3351.3417166396353</v>
      </c>
      <c r="G46" s="22">
        <f>G19+G36+G40+G44+G45+0.21</f>
        <v>50910.457840462215</v>
      </c>
      <c r="H46" s="22">
        <f>H19+H36+H40+H44+H45+0.01</f>
        <v>3154.300448603607</v>
      </c>
      <c r="I46" s="22">
        <f>I19+I36+I40+I44+I45+0.64</f>
        <v>12202.831196037439</v>
      </c>
      <c r="J46" s="22">
        <f>J19+J36+J40+J44+J45+0.23</f>
        <v>4299.8040648475826</v>
      </c>
      <c r="K46" s="22">
        <f>K19+K36+K40+K44+K45-0.85</f>
        <v>2593.1166599370304</v>
      </c>
      <c r="L46" s="22">
        <f>L19+L36+L40+L44+L45-1.35</f>
        <v>4129.1701591353985</v>
      </c>
      <c r="M46" s="23">
        <f t="shared" si="7"/>
        <v>65706.40569643669</v>
      </c>
      <c r="N46" s="23"/>
      <c r="O46" s="23"/>
    </row>
    <row r="47" spans="3:16">
      <c r="C47" s="24" t="s">
        <v>63</v>
      </c>
      <c r="D47" s="21" t="s">
        <v>64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</row>
    <row r="48" spans="3:16">
      <c r="C48" s="24" t="s">
        <v>65</v>
      </c>
      <c r="D48" s="21" t="s">
        <v>66</v>
      </c>
      <c r="E48" s="22">
        <f>'[1]теплова енергія з прибутком'!G39</f>
        <v>2628.2562278574674</v>
      </c>
      <c r="F48" s="22">
        <f>E48/E59*1000</f>
        <v>134.05366866558541</v>
      </c>
      <c r="G48" s="22">
        <v>2036.42</v>
      </c>
      <c r="H48" s="22">
        <f>G48/G59*1000</f>
        <v>126.1722428748451</v>
      </c>
      <c r="I48" s="22">
        <v>488.11</v>
      </c>
      <c r="J48" s="22">
        <f>I48/I59*1000</f>
        <v>171.99083861874558</v>
      </c>
      <c r="K48" s="22">
        <v>103.72</v>
      </c>
      <c r="L48" s="22">
        <f>K48/K59*1000+0.01</f>
        <v>165.16923566878981</v>
      </c>
      <c r="M48" s="23">
        <f>K48+I48+G48</f>
        <v>2628.25</v>
      </c>
      <c r="N48" s="23"/>
      <c r="O48" t="s">
        <v>67</v>
      </c>
      <c r="P48" s="23">
        <f>G46*0.04</f>
        <v>2036.4183136184886</v>
      </c>
    </row>
    <row r="49" spans="3:16">
      <c r="C49" s="24" t="s">
        <v>68</v>
      </c>
      <c r="D49" s="37" t="s">
        <v>69</v>
      </c>
      <c r="E49" s="25">
        <f t="shared" ref="E49:L49" si="8">E48*0.18</f>
        <v>473.08612101434409</v>
      </c>
      <c r="F49" s="25">
        <f t="shared" si="8"/>
        <v>24.129660359805371</v>
      </c>
      <c r="G49" s="25">
        <f t="shared" si="8"/>
        <v>366.55560000000003</v>
      </c>
      <c r="H49" s="25">
        <f t="shared" si="8"/>
        <v>22.711003717472117</v>
      </c>
      <c r="I49" s="25">
        <f t="shared" si="8"/>
        <v>87.859799999999993</v>
      </c>
      <c r="J49" s="25">
        <f t="shared" si="8"/>
        <v>30.958350951374204</v>
      </c>
      <c r="K49" s="25">
        <f t="shared" si="8"/>
        <v>18.669599999999999</v>
      </c>
      <c r="L49" s="25">
        <f t="shared" si="8"/>
        <v>29.730462420382164</v>
      </c>
      <c r="M49" s="23">
        <f>G49+I49+K49</f>
        <v>473.08500000000004</v>
      </c>
      <c r="O49" t="s">
        <v>70</v>
      </c>
      <c r="P49">
        <f>P48*0.18</f>
        <v>366.55529645132793</v>
      </c>
    </row>
    <row r="50" spans="3:16">
      <c r="C50" s="24" t="s">
        <v>71</v>
      </c>
      <c r="D50" s="37" t="s">
        <v>72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O50" t="s">
        <v>73</v>
      </c>
      <c r="P50">
        <f>P48+P49</f>
        <v>2402.9736100698165</v>
      </c>
    </row>
    <row r="51" spans="3:16">
      <c r="C51" s="28" t="s">
        <v>74</v>
      </c>
      <c r="D51" s="38" t="s">
        <v>75</v>
      </c>
      <c r="E51" s="33"/>
      <c r="F51" s="33"/>
      <c r="G51" s="33"/>
      <c r="H51" s="33"/>
      <c r="I51" s="33"/>
      <c r="J51" s="33"/>
      <c r="K51" s="33"/>
      <c r="L51" s="33"/>
      <c r="O51" t="s">
        <v>76</v>
      </c>
      <c r="P51">
        <f>I46*0.04</f>
        <v>488.11324784149758</v>
      </c>
    </row>
    <row r="52" spans="3:16">
      <c r="C52" s="31"/>
      <c r="D52" s="39" t="s">
        <v>77</v>
      </c>
      <c r="E52" s="32">
        <f>[1]транспортування!I71</f>
        <v>0</v>
      </c>
      <c r="F52" s="32">
        <f>E52/E59*1000</f>
        <v>0</v>
      </c>
      <c r="G52" s="32">
        <f>E52*H13</f>
        <v>0</v>
      </c>
      <c r="H52" s="32">
        <f>G52/G59*1000</f>
        <v>0</v>
      </c>
      <c r="I52" s="32">
        <f>E52*J13</f>
        <v>0</v>
      </c>
      <c r="J52" s="32">
        <f>I52/I59*1000</f>
        <v>0</v>
      </c>
      <c r="K52" s="32">
        <f>E52*L13</f>
        <v>0</v>
      </c>
      <c r="L52" s="32">
        <f>K52/K59*1000</f>
        <v>0</v>
      </c>
      <c r="O52" t="s">
        <v>70</v>
      </c>
      <c r="P52">
        <f>P51*0.18</f>
        <v>87.860384611469556</v>
      </c>
    </row>
    <row r="53" spans="3:16">
      <c r="C53" s="24" t="s">
        <v>78</v>
      </c>
      <c r="D53" s="37" t="s">
        <v>79</v>
      </c>
      <c r="E53" s="25">
        <f>E48-E49-E52</f>
        <v>2155.1701068431234</v>
      </c>
      <c r="F53" s="25">
        <f>F48-F49</f>
        <v>109.92400830578003</v>
      </c>
      <c r="G53" s="25">
        <f t="shared" ref="G53:L53" si="9">G48-G49</f>
        <v>1669.8643999999999</v>
      </c>
      <c r="H53" s="25">
        <f t="shared" si="9"/>
        <v>103.46123915737297</v>
      </c>
      <c r="I53" s="25">
        <f t="shared" si="9"/>
        <v>400.25020000000001</v>
      </c>
      <c r="J53" s="25">
        <f t="shared" si="9"/>
        <v>141.03248766737138</v>
      </c>
      <c r="K53" s="25">
        <f t="shared" si="9"/>
        <v>85.050399999999996</v>
      </c>
      <c r="L53" s="25">
        <f t="shared" si="9"/>
        <v>135.43877324840764</v>
      </c>
      <c r="O53" t="s">
        <v>73</v>
      </c>
      <c r="P53">
        <f>P51+P52</f>
        <v>575.97363245296719</v>
      </c>
    </row>
    <row r="54" spans="3:16">
      <c r="C54" s="28" t="s">
        <v>80</v>
      </c>
      <c r="D54" s="40" t="s">
        <v>81</v>
      </c>
      <c r="E54" s="33"/>
      <c r="F54" s="33"/>
      <c r="G54" s="33"/>
      <c r="H54" s="33"/>
      <c r="I54" s="33"/>
      <c r="J54" s="33"/>
      <c r="K54" s="33"/>
      <c r="L54" s="33"/>
      <c r="O54" t="s">
        <v>82</v>
      </c>
      <c r="P54">
        <f>K46*0.04</f>
        <v>103.72466639748122</v>
      </c>
    </row>
    <row r="55" spans="3:16">
      <c r="C55" s="31"/>
      <c r="D55" s="41" t="s">
        <v>83</v>
      </c>
      <c r="E55" s="42">
        <f>E46+E48</f>
        <v>68334.661924294152</v>
      </c>
      <c r="F55" s="42">
        <f>E55/E59*1000</f>
        <v>3485.3953853052208</v>
      </c>
      <c r="G55" s="42">
        <f>G46+G48</f>
        <v>52946.877840462213</v>
      </c>
      <c r="H55" s="42">
        <f>H46+H48+0.01</f>
        <v>3280.4826914784526</v>
      </c>
      <c r="I55" s="42">
        <f>I46+I48</f>
        <v>12690.94119603744</v>
      </c>
      <c r="J55" s="42">
        <f>J46+J48</f>
        <v>4471.7949034663279</v>
      </c>
      <c r="K55" s="42">
        <f>K46+K48</f>
        <v>2696.8366599370302</v>
      </c>
      <c r="L55" s="42">
        <f>L46+L48</f>
        <v>4294.3393948041885</v>
      </c>
      <c r="N55" s="43">
        <f>G55+I55+K55</f>
        <v>68334.65569643669</v>
      </c>
      <c r="O55" t="s">
        <v>70</v>
      </c>
      <c r="P55">
        <f>P54*0.18</f>
        <v>18.670439951546619</v>
      </c>
    </row>
    <row r="56" spans="3:16">
      <c r="C56" s="24" t="s">
        <v>84</v>
      </c>
      <c r="D56" s="21" t="s">
        <v>85</v>
      </c>
      <c r="E56" s="22">
        <f>E55/E59*1000</f>
        <v>3485.3953853052208</v>
      </c>
      <c r="F56" s="22"/>
      <c r="G56" s="22">
        <f>G55/G59*1000</f>
        <v>3280.475702630868</v>
      </c>
      <c r="H56" s="22"/>
      <c r="I56" s="22">
        <f>I55/I59*1000</f>
        <v>4471.7904143895139</v>
      </c>
      <c r="J56" s="22"/>
      <c r="K56" s="22">
        <f>K55/K59*1000+0.01</f>
        <v>4294.3358916194748</v>
      </c>
      <c r="L56" s="22"/>
      <c r="O56" t="s">
        <v>73</v>
      </c>
      <c r="P56" s="23">
        <f>P54+P55</f>
        <v>122.39510634902783</v>
      </c>
    </row>
    <row r="57" spans="3:16">
      <c r="C57" s="24" t="s">
        <v>86</v>
      </c>
      <c r="D57" s="21" t="s">
        <v>87</v>
      </c>
      <c r="E57" s="22">
        <f>E21*100/E46</f>
        <v>44.808991530065818</v>
      </c>
      <c r="F57" s="22"/>
      <c r="G57" s="22">
        <f>G21*100/G46-0.01</f>
        <v>41.352228781820003</v>
      </c>
      <c r="H57" s="22"/>
      <c r="I57" s="22">
        <f>I21*100/I55</f>
        <v>54.801186505170556</v>
      </c>
      <c r="J57" s="22"/>
      <c r="K57" s="22">
        <f>K21*100/K46</f>
        <v>55.141806204574017</v>
      </c>
      <c r="L57" s="22"/>
      <c r="P57" s="23"/>
    </row>
    <row r="58" spans="3:16">
      <c r="C58" s="24" t="s">
        <v>88</v>
      </c>
      <c r="D58" s="21" t="s">
        <v>89</v>
      </c>
      <c r="E58" s="22">
        <f>100-E57</f>
        <v>55.191008469934182</v>
      </c>
      <c r="F58" s="22"/>
      <c r="G58" s="22">
        <f>100-G57</f>
        <v>58.647771218179997</v>
      </c>
      <c r="H58" s="22"/>
      <c r="I58" s="22">
        <f>100-I57</f>
        <v>45.198813494829444</v>
      </c>
      <c r="J58" s="22"/>
      <c r="K58" s="22">
        <f>100-K57</f>
        <v>44.858193795425983</v>
      </c>
      <c r="L58" s="22"/>
      <c r="O58" t="s">
        <v>90</v>
      </c>
      <c r="P58" s="23">
        <f>P50+P53+P56</f>
        <v>3101.3423488718113</v>
      </c>
    </row>
    <row r="59" spans="3:16">
      <c r="C59" s="24" t="s">
        <v>91</v>
      </c>
      <c r="D59" s="21" t="s">
        <v>92</v>
      </c>
      <c r="E59" s="36">
        <v>19606</v>
      </c>
      <c r="F59" s="36"/>
      <c r="G59" s="36">
        <v>16140</v>
      </c>
      <c r="H59" s="36"/>
      <c r="I59" s="36">
        <v>2838</v>
      </c>
      <c r="J59" s="36"/>
      <c r="K59" s="36">
        <v>628</v>
      </c>
      <c r="L59" s="36"/>
      <c r="P59">
        <f>P49+P52+P55</f>
        <v>473.08612101434409</v>
      </c>
    </row>
    <row r="60" spans="3:16">
      <c r="C60" s="24" t="s">
        <v>93</v>
      </c>
      <c r="D60" s="21" t="s">
        <v>94</v>
      </c>
      <c r="E60" s="36">
        <f>E55/E46*100-100</f>
        <v>3.9999999999999858</v>
      </c>
      <c r="F60" s="36">
        <f>F55/F46*100-100</f>
        <v>4</v>
      </c>
      <c r="G60" s="36">
        <v>4</v>
      </c>
      <c r="H60" s="36">
        <v>4</v>
      </c>
      <c r="I60" s="36">
        <v>4</v>
      </c>
      <c r="J60" s="36">
        <v>4</v>
      </c>
      <c r="K60" s="36">
        <v>4</v>
      </c>
      <c r="L60" s="36">
        <v>4</v>
      </c>
    </row>
    <row r="61" spans="3:16">
      <c r="C61" s="44"/>
    </row>
    <row r="62" spans="3:16">
      <c r="C62" s="44"/>
    </row>
    <row r="63" spans="3:16">
      <c r="C63" s="44"/>
    </row>
    <row r="64" spans="3:16">
      <c r="C64" s="44"/>
      <c r="E64" t="s">
        <v>95</v>
      </c>
    </row>
    <row r="65" spans="3:16">
      <c r="C65" s="44"/>
      <c r="N65" s="45" t="s">
        <v>96</v>
      </c>
      <c r="O65" s="45" t="s">
        <v>97</v>
      </c>
      <c r="P65" s="45" t="s">
        <v>98</v>
      </c>
    </row>
    <row r="66" spans="3:16">
      <c r="C66" s="44"/>
      <c r="E66" t="s">
        <v>99</v>
      </c>
      <c r="N66">
        <f>G59*100/E59</f>
        <v>82.321738243394876</v>
      </c>
      <c r="O66">
        <f>I59*100/E59</f>
        <v>14.47516066510252</v>
      </c>
      <c r="P66">
        <f>K59*100/E59</f>
        <v>3.2031010915026012</v>
      </c>
    </row>
    <row r="67" spans="3:16">
      <c r="C67" s="44"/>
    </row>
    <row r="68" spans="3:16">
      <c r="C68" s="44"/>
    </row>
    <row r="69" spans="3:16">
      <c r="C69" s="44"/>
      <c r="E69">
        <f>E49+E52+E53</f>
        <v>2628.2562278574674</v>
      </c>
      <c r="F69">
        <f>F49+F52+F53</f>
        <v>134.05366866558541</v>
      </c>
    </row>
    <row r="70" spans="3:16">
      <c r="C70" s="44"/>
    </row>
    <row r="71" spans="3:16">
      <c r="C71" s="44"/>
    </row>
    <row r="72" spans="3:16">
      <c r="C72" s="44"/>
    </row>
    <row r="73" spans="3:16">
      <c r="C73" s="44"/>
      <c r="E73">
        <f>E46-47722.45-6002.69852-2756.57</f>
        <v>9224.6871764366933</v>
      </c>
    </row>
    <row r="74" spans="3:16">
      <c r="C74" s="44"/>
    </row>
    <row r="75" spans="3:16">
      <c r="C75" s="44"/>
    </row>
    <row r="76" spans="3:16">
      <c r="C76" s="44"/>
    </row>
    <row r="77" spans="3:16">
      <c r="C77" s="44"/>
    </row>
    <row r="78" spans="3:16">
      <c r="C78" s="44"/>
    </row>
    <row r="79" spans="3:16">
      <c r="C79" s="44"/>
    </row>
    <row r="80" spans="3:16">
      <c r="C80" s="44"/>
    </row>
    <row r="81" spans="3:3">
      <c r="C81" s="44"/>
    </row>
    <row r="82" spans="3:3">
      <c r="C82" s="44"/>
    </row>
    <row r="83" spans="3:3">
      <c r="C83" s="44"/>
    </row>
    <row r="84" spans="3:3">
      <c r="C84" s="44"/>
    </row>
    <row r="85" spans="3:3">
      <c r="C85" s="44"/>
    </row>
    <row r="86" spans="3:3">
      <c r="C86" s="44"/>
    </row>
    <row r="87" spans="3:3">
      <c r="C87" s="44"/>
    </row>
    <row r="88" spans="3:3">
      <c r="C88" s="44"/>
    </row>
    <row r="89" spans="3:3">
      <c r="C89" s="44"/>
    </row>
    <row r="90" spans="3:3">
      <c r="C90" s="44"/>
    </row>
    <row r="91" spans="3:3">
      <c r="C91" s="44"/>
    </row>
    <row r="92" spans="3:3">
      <c r="C92" s="44"/>
    </row>
    <row r="93" spans="3:3">
      <c r="C93" s="44"/>
    </row>
    <row r="94" spans="3:3">
      <c r="C94" s="44"/>
    </row>
    <row r="95" spans="3:3">
      <c r="C95" s="44"/>
    </row>
    <row r="96" spans="3:3">
      <c r="C96" s="44"/>
    </row>
    <row r="97" spans="3:3">
      <c r="C97" s="44"/>
    </row>
    <row r="98" spans="3:3">
      <c r="C98" s="44"/>
    </row>
    <row r="99" spans="3:3">
      <c r="C99" s="44"/>
    </row>
    <row r="100" spans="3:3">
      <c r="C100" s="44"/>
    </row>
    <row r="101" spans="3:3">
      <c r="C101" s="44"/>
    </row>
    <row r="102" spans="3:3">
      <c r="C102" s="44"/>
    </row>
    <row r="103" spans="3:3">
      <c r="C103" s="44"/>
    </row>
    <row r="104" spans="3:3">
      <c r="C104" s="44"/>
    </row>
    <row r="105" spans="3:3">
      <c r="C105" s="44"/>
    </row>
    <row r="106" spans="3:3">
      <c r="C106" s="44"/>
    </row>
    <row r="107" spans="3:3">
      <c r="C107" s="44"/>
    </row>
    <row r="108" spans="3:3">
      <c r="C108" s="44"/>
    </row>
    <row r="109" spans="3:3">
      <c r="C109" s="44"/>
    </row>
    <row r="110" spans="3:3">
      <c r="C110" s="44"/>
    </row>
  </sheetData>
  <mergeCells count="8">
    <mergeCell ref="E14:F14"/>
    <mergeCell ref="G14:H14"/>
    <mergeCell ref="I14:J14"/>
    <mergeCell ref="K14:L14"/>
    <mergeCell ref="E15:F15"/>
    <mergeCell ref="G15:H15"/>
    <mergeCell ref="I15:J15"/>
    <mergeCell ref="K15:L15"/>
  </mergeCells>
  <pageMargins left="0.7" right="0.28000000000000003" top="0.75" bottom="0.75" header="0.3" footer="0.3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тарифу на тепл.енергі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</dc:creator>
  <cp:lastModifiedBy>porta</cp:lastModifiedBy>
  <dcterms:created xsi:type="dcterms:W3CDTF">2025-07-30T09:28:44Z</dcterms:created>
  <dcterms:modified xsi:type="dcterms:W3CDTF">2025-07-30T09:29:36Z</dcterms:modified>
</cp:coreProperties>
</file>