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058C725-6D71-47CB-80CA-9F321159F1C9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Розрахунок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1" l="1"/>
  <c r="I39" i="1"/>
  <c r="G38" i="1"/>
  <c r="G42" i="1" s="1"/>
  <c r="F38" i="1"/>
  <c r="F42" i="1" s="1"/>
  <c r="I37" i="1"/>
  <c r="K34" i="1"/>
  <c r="K38" i="1" s="1"/>
  <c r="K42" i="1" s="1"/>
  <c r="J34" i="1"/>
  <c r="J38" i="1" s="1"/>
  <c r="J42" i="1" s="1"/>
  <c r="G34" i="1"/>
  <c r="K28" i="1"/>
  <c r="J28" i="1"/>
  <c r="G28" i="1"/>
  <c r="F29" i="1"/>
  <c r="F27" i="1"/>
  <c r="J27" i="1" s="1"/>
  <c r="K26" i="1"/>
  <c r="J26" i="1"/>
  <c r="G26" i="1"/>
  <c r="K24" i="1"/>
  <c r="K27" i="1" l="1"/>
  <c r="G27" i="1"/>
  <c r="K49" i="1"/>
  <c r="G29" i="1"/>
  <c r="K29" i="1"/>
  <c r="J29" i="1"/>
  <c r="G24" i="1"/>
  <c r="F25" i="1"/>
  <c r="F33" i="1" s="1"/>
  <c r="F49" i="1"/>
  <c r="J24" i="1"/>
  <c r="J49" i="1" s="1"/>
  <c r="G49" i="1" l="1"/>
  <c r="K25" i="1"/>
  <c r="J25" i="1"/>
  <c r="J37" i="1" s="1"/>
  <c r="G25" i="1"/>
  <c r="G37" i="1" s="1"/>
  <c r="F35" i="1" l="1"/>
  <c r="F39" i="1" s="1"/>
  <c r="G33" i="1"/>
  <c r="J33" i="1"/>
  <c r="K37" i="1"/>
  <c r="K33" i="1"/>
  <c r="J32" i="1" l="1"/>
  <c r="G35" i="1"/>
  <c r="G32" i="1" s="1"/>
  <c r="K35" i="1"/>
  <c r="G41" i="1"/>
  <c r="K41" i="1"/>
  <c r="G39" i="1"/>
  <c r="G36" i="1" s="1"/>
  <c r="J35" i="1"/>
  <c r="F43" i="1"/>
  <c r="F40" i="1"/>
  <c r="J41" i="1"/>
  <c r="F32" i="1"/>
  <c r="G43" i="1" l="1"/>
  <c r="G40" i="1"/>
  <c r="J43" i="1"/>
  <c r="J39" i="1"/>
  <c r="J36" i="1" s="1"/>
  <c r="J40" i="1" s="1"/>
  <c r="K43" i="1"/>
  <c r="K39" i="1"/>
  <c r="K32" i="1"/>
  <c r="K36" i="1" l="1"/>
  <c r="K40" i="1" s="1"/>
</calcChain>
</file>

<file path=xl/sharedStrings.xml><?xml version="1.0" encoding="utf-8"?>
<sst xmlns="http://schemas.openxmlformats.org/spreadsheetml/2006/main" count="114" uniqueCount="79">
  <si>
    <t>,</t>
  </si>
  <si>
    <t>РОЗРАХУНОК</t>
  </si>
  <si>
    <t>коригування тарифів на теплову енергію</t>
  </si>
  <si>
    <t xml:space="preserve"> в зв"язку зі зміною тарифу на розподіл газу з 01.01.2026 р. (без ПДВ)</t>
  </si>
  <si>
    <t>№ з/п</t>
  </si>
  <si>
    <t>1.1</t>
  </si>
  <si>
    <t>1.2.</t>
  </si>
  <si>
    <t>1.3.</t>
  </si>
  <si>
    <t>2.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</si>
  <si>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</si>
  <si>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</si>
  <si>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</si>
  <si>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</si>
  <si>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</si>
  <si>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</si>
  <si>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</si>
  <si>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</si>
  <si>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</si>
  <si>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</si>
  <si>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</si>
  <si>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</si>
  <si>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</si>
  <si>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</si>
  <si>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</si>
  <si>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7.1.</t>
  </si>
  <si>
    <t>7.2.</t>
  </si>
  <si>
    <t>8.1.</t>
  </si>
  <si>
    <t>8.2.</t>
  </si>
  <si>
    <t>8.3</t>
  </si>
  <si>
    <t>8.4</t>
  </si>
  <si>
    <t>* Прибуток 4% на обігові кошти та податок на прибуток</t>
  </si>
  <si>
    <t>Начальник  КП  "БГВУЖКГ"</t>
  </si>
  <si>
    <t>(керівник)</t>
  </si>
  <si>
    <t xml:space="preserve">                                                              по КП "БГВУЖКГ" на опалювальний період 2025-2026 р.р.</t>
  </si>
  <si>
    <t>Найменування показника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</si>
  <si>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</si>
  <si>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</si>
  <si>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</si>
  <si>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</si>
  <si>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</si>
  <si>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</si>
  <si>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витрати на відшкодування втрат теплової енергії в теплових мережах (у тому числі понаднормових втрат) в грошовому виразі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</si>
  <si>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</si>
  <si>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</si>
  <si>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</si>
  <si>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</si>
  <si>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планований прибуток*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</si>
  <si>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</si>
  <si>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</si>
  <si>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</si>
  <si>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</si>
  <si>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</si>
  <si>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</si>
  <si>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</si>
  <si>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</si>
  <si>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</si>
  <si>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на транспортування теплової енергії</t>
  </si>
  <si>
    <t>на постачання теплової енергії</t>
  </si>
  <si>
    <t>на теплову енергію</t>
  </si>
  <si>
    <t>Виконавець:Козакевич Г.І. тел. 41-170</t>
  </si>
  <si>
    <t>Одиниці виміру</t>
  </si>
  <si>
    <t>грн/Гкал</t>
  </si>
  <si>
    <t>тис. грн</t>
  </si>
  <si>
    <t>Гкал</t>
  </si>
  <si>
    <t>%</t>
  </si>
  <si>
    <t>Сумарні та середньозважені показники</t>
  </si>
  <si>
    <t>__________</t>
  </si>
  <si>
    <t>(підпис)</t>
  </si>
  <si>
    <t>На потреби споживачів</t>
  </si>
  <si>
    <t>населення</t>
  </si>
  <si>
    <t>Віктор КАМІНСЬКИЙ</t>
  </si>
  <si>
    <t>(ініціали, прізвище)</t>
  </si>
  <si>
    <t>До рішення виконавчого комітету</t>
  </si>
  <si>
    <t>Боярської міської ради</t>
  </si>
  <si>
    <t>від "__"___________2026 №___</t>
  </si>
  <si>
    <t>релігійних організацій</t>
  </si>
  <si>
    <t>бюджетних установ</t>
  </si>
  <si>
    <t>Додаток 3.5</t>
  </si>
  <si>
    <t>інших споживачів зміна ціни газу в березні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</si>
</sst>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2" fontId="5" fillId="0" borderId="11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2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2" fontId="3" fillId="0" borderId="11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2" fontId="3" fillId="0" borderId="17" xfId="0" applyNumberFormat="1" applyFont="1" applyBorder="1" applyAlignment="1">
      <alignment horizontal="center" vertical="top"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17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shchuk/Desktop/&#1057;&#1090;&#1072;&#1088;&#1110;%20&#1076;&#1072;&#1085;&#1110;/&#1040;&#1083;&#1083;&#1072;/&#1072;&#1083;&#1083;&#1072;/&#1058;&#1040;&#1056;&#1048;&#1060;&#1048;/&#1041;&#1086;&#1103;&#1088;&#1089;&#1100;&#1082;&#1077;%20&#1043;&#1042;&#1059;&#1046;&#1050;&#1043;/&#1055;&#1083;&#1072;&#1085;&#1086;&#1074;&#1080;&#1081;%20&#1090;&#1072;&#1088;&#1080;&#1092;%20&#1085;&#1072;%20&#1090;&#1077;&#1087;&#1083;&#1086;%202025-2026%20&#1082;&#1086;&#1088;&#1080;&#1075;.&#1085;&#1072;%20&#1088;&#1086;&#1079;&#1087;&#1086;&#1076;&#1110;&#1083;%20&#1075;&#1072;&#1079;&#1091;,&#1085;&#1086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  <sheetName val="Лист1"/>
      <sheetName val="2"/>
      <sheetName val="розрах вартості палива"/>
      <sheetName val="Лист3"/>
      <sheetName val="Лист2"/>
      <sheetName val="розр.екон. ефе по інвест прогр."/>
      <sheetName val="Середня ціна електроенергії"/>
      <sheetName val="розрах витрат електроенергії"/>
      <sheetName val="інформ.про суб.ВВ"/>
      <sheetName val="електроенергія на ремонт"/>
      <sheetName val="розр.абон.плати"/>
      <sheetName val=" вода і стоки"/>
      <sheetName val="Розрах. зп на вир.тран.і пост "/>
      <sheetName val="накладні витрат. "/>
      <sheetName val="транспортування"/>
      <sheetName val="постачання"/>
      <sheetName val="теплова енергія з прибутком"/>
      <sheetName val="Аркуш3"/>
      <sheetName val="Аркуш1"/>
      <sheetName val="про намір  нові тарифи"/>
      <sheetName val="обгрунтування зміни тарифів"/>
      <sheetName val="вода, стоки на вир.транспортув."/>
      <sheetName val="середня ціна палива за опал.пер"/>
      <sheetName val="розр."/>
      <sheetName val="виробництво"/>
      <sheetName val=" різниця в тарифах"/>
      <sheetName val="Розрахунок інших операц витрат"/>
      <sheetName val="пояснювальна запика"/>
      <sheetName val="розрах.амортизації"/>
      <sheetName val="повідомл.про намір"/>
      <sheetName val="структура тарифу на тепл.енергі"/>
      <sheetName val="Роз&quot;яснення по абон.платі"/>
      <sheetName val="перелік поданих докумен"/>
      <sheetName val="Розр.витрат солі на Космосі"/>
      <sheetName val="інформація про суб&quot;єкта господ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H39">
            <v>6</v>
          </cell>
        </row>
        <row r="66">
          <cell r="H66">
            <v>0</v>
          </cell>
        </row>
        <row r="67">
          <cell r="H67">
            <v>0</v>
          </cell>
        </row>
      </sheetData>
      <sheetData sheetId="16">
        <row r="20">
          <cell r="I20">
            <v>6</v>
          </cell>
        </row>
      </sheetData>
      <sheetData sheetId="17">
        <row r="34">
          <cell r="F34" t="str">
            <v>тис. грн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28">
          <cell r="G28">
            <v>39141.629999999997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K55"/>
  <sheetViews>
    <sheetView tabSelected="1" topLeftCell="A17" workbookViewId="0">
      <selection activeCell="K37" sqref="K37"/>
    </sheetView>
  </sheetViews>
  <sheetFormatPr defaultRowHeight="14.4" x14ac:dyDescent="0.3"/>
  <cols>
    <col min="3" max="3" width="6.33203125" customWidth="1"/>
    <col min="4" max="4" width="33.109375" customWidth="1"/>
    <col min="6" max="6" width="11.44140625" bestFit="1" customWidth="1"/>
    <col min="7" max="7" width="13" customWidth="1"/>
    <col min="8" max="8" width="0.109375" customWidth="1"/>
    <col min="9" max="9" width="12.6640625" customWidth="1"/>
    <col min="10" max="10" width="12" customWidth="1"/>
    <col min="11" max="11" width="15.5546875" customWidth="1"/>
  </cols>
  <sheetData>
    <row r="7" spans="3:11" ht="15.6" x14ac:dyDescent="0.3">
      <c r="C7" s="1"/>
      <c r="D7" s="2"/>
      <c r="E7" s="2"/>
      <c r="G7" s="3"/>
      <c r="H7" s="3"/>
      <c r="I7" s="4"/>
      <c r="J7" s="4"/>
      <c r="K7" s="4" t="s">
        <v>77</v>
      </c>
    </row>
    <row r="8" spans="3:11" ht="15.6" x14ac:dyDescent="0.3">
      <c r="C8" s="1" t="s">
        <v>0</v>
      </c>
      <c r="D8" s="2"/>
      <c r="E8" s="2"/>
      <c r="G8" s="3"/>
      <c r="H8" s="3"/>
      <c r="I8" s="33" t="s">
        <v>72</v>
      </c>
      <c r="J8" s="33"/>
      <c r="K8" s="33"/>
    </row>
    <row r="9" spans="3:11" ht="15.6" x14ac:dyDescent="0.3">
      <c r="C9" s="1"/>
      <c r="D9" s="2"/>
      <c r="E9" s="2"/>
      <c r="G9" s="3"/>
      <c r="H9" s="3"/>
      <c r="I9" s="33" t="s">
        <v>73</v>
      </c>
      <c r="J9" s="33"/>
      <c r="K9" s="33"/>
    </row>
    <row r="10" spans="3:11" ht="15.6" x14ac:dyDescent="0.3">
      <c r="C10" s="1"/>
      <c r="D10" s="2"/>
      <c r="E10" s="2"/>
      <c r="G10" s="3"/>
      <c r="H10" s="3"/>
      <c r="I10" s="33" t="s">
        <v>74</v>
      </c>
      <c r="J10" s="33"/>
      <c r="K10" s="33"/>
    </row>
    <row r="11" spans="3:11" ht="15.6" x14ac:dyDescent="0.3">
      <c r="C11" s="1"/>
      <c r="D11" s="2"/>
      <c r="E11" s="2"/>
      <c r="G11" s="3"/>
      <c r="H11" s="3"/>
      <c r="I11" s="34"/>
      <c r="J11" s="34"/>
      <c r="K11" s="34"/>
    </row>
    <row r="12" spans="3:11" ht="15.6" x14ac:dyDescent="0.3">
      <c r="C12" s="44" t="s">
        <v>1</v>
      </c>
      <c r="D12" s="44"/>
      <c r="E12" s="44"/>
      <c r="F12" s="44"/>
      <c r="G12" s="44"/>
      <c r="H12" s="44"/>
      <c r="I12" s="44"/>
      <c r="J12" s="44"/>
      <c r="K12" s="44"/>
    </row>
    <row r="13" spans="3:11" ht="15.6" x14ac:dyDescent="0.3">
      <c r="C13" s="44" t="s">
        <v>2</v>
      </c>
      <c r="D13" s="44"/>
      <c r="E13" s="44"/>
      <c r="F13" s="44"/>
      <c r="G13" s="44"/>
      <c r="H13" s="44"/>
      <c r="I13" s="44"/>
      <c r="J13" s="44"/>
      <c r="K13" s="44"/>
    </row>
    <row r="14" spans="3:11" x14ac:dyDescent="0.3">
      <c r="C14" s="5"/>
      <c r="D14" s="5" t="s">
        <v>33</v>
      </c>
      <c r="E14" s="5"/>
      <c r="F14" s="5"/>
      <c r="G14" s="5"/>
      <c r="H14" s="5"/>
      <c r="I14" s="5"/>
      <c r="J14" s="45"/>
      <c r="K14" s="45"/>
    </row>
    <row r="15" spans="3:11" ht="15.6" x14ac:dyDescent="0.3">
      <c r="C15" s="44" t="s">
        <v>3</v>
      </c>
      <c r="D15" s="44"/>
      <c r="E15" s="44"/>
      <c r="F15" s="44"/>
      <c r="G15" s="44"/>
      <c r="H15" s="44"/>
      <c r="I15" s="44"/>
      <c r="J15" s="44"/>
      <c r="K15" s="44"/>
    </row>
    <row r="16" spans="3:11" x14ac:dyDescent="0.3">
      <c r="C16" s="5"/>
      <c r="D16" s="5"/>
      <c r="E16" s="5"/>
      <c r="F16" s="5"/>
      <c r="G16" s="6">
        <v>0.82320000000000004</v>
      </c>
      <c r="H16" s="5"/>
      <c r="I16" s="5"/>
      <c r="J16" s="6">
        <v>0.1447</v>
      </c>
      <c r="K16" s="7">
        <v>3.2099999999999997E-2</v>
      </c>
    </row>
    <row r="17" spans="3:11" ht="16.2" thickBot="1" x14ac:dyDescent="0.35">
      <c r="C17" s="46" t="s">
        <v>4</v>
      </c>
      <c r="D17" s="48" t="s">
        <v>34</v>
      </c>
      <c r="E17" s="48" t="s">
        <v>60</v>
      </c>
      <c r="F17" s="50" t="s">
        <v>65</v>
      </c>
      <c r="G17" s="52" t="s">
        <v>68</v>
      </c>
      <c r="H17" s="53"/>
      <c r="I17" s="53"/>
      <c r="J17" s="53"/>
      <c r="K17" s="54"/>
    </row>
    <row r="18" spans="3:11" ht="78.599999999999994" thickBot="1" x14ac:dyDescent="0.35">
      <c r="C18" s="47"/>
      <c r="D18" s="49"/>
      <c r="E18" s="49"/>
      <c r="F18" s="51"/>
      <c r="G18" s="42" t="s">
        <v>69</v>
      </c>
      <c r="H18" s="43"/>
      <c r="I18" s="8" t="s">
        <v>75</v>
      </c>
      <c r="J18" s="8" t="s">
        <v>76</v>
      </c>
      <c r="K18" s="9" t="s">
        <v>78</v>
      </c>
    </row>
    <row r="19" spans="3:11" ht="16.2" thickBot="1" x14ac:dyDescent="0.35">
      <c r="C19" s="10">
        <v>1</v>
      </c>
      <c r="D19" s="8">
        <v>2</v>
      </c>
      <c r="E19" s="8">
        <v>3</v>
      </c>
      <c r="F19" s="8">
        <v>4</v>
      </c>
      <c r="G19" s="42">
        <v>5</v>
      </c>
      <c r="H19" s="43"/>
      <c r="I19" s="8">
        <v>6</v>
      </c>
      <c r="J19" s="8">
        <v>7</v>
      </c>
      <c r="K19" s="9">
        <v>8</v>
      </c>
    </row>
    <row r="20" spans="3:11" ht="31.8" thickBot="1" x14ac:dyDescent="0.35">
      <c r="C20" s="11">
        <v>1</v>
      </c>
      <c r="D20" s="12" t="s">
        <v>35</v>
      </c>
      <c r="E20" s="12" t="s">
        <v>61</v>
      </c>
      <c r="F20" s="13">
        <v>2771.11</v>
      </c>
      <c r="G20" s="39">
        <v>2574.3200000000002</v>
      </c>
      <c r="H20" s="41"/>
      <c r="I20" s="14">
        <v>0</v>
      </c>
      <c r="J20" s="13">
        <v>3719.05</v>
      </c>
      <c r="K20" s="15">
        <v>3545.1</v>
      </c>
    </row>
    <row r="21" spans="3:11" ht="31.8" thickBot="1" x14ac:dyDescent="0.35">
      <c r="C21" s="16" t="s">
        <v>5</v>
      </c>
      <c r="D21" s="17" t="s">
        <v>36</v>
      </c>
      <c r="E21" s="17" t="s">
        <v>61</v>
      </c>
      <c r="F21" s="18">
        <v>2771.11</v>
      </c>
      <c r="G21" s="35">
        <v>2574.3200000000002</v>
      </c>
      <c r="H21" s="38"/>
      <c r="I21" s="19">
        <v>0</v>
      </c>
      <c r="J21" s="18">
        <v>3719.05</v>
      </c>
      <c r="K21" s="20">
        <v>3545.1</v>
      </c>
    </row>
    <row r="22" spans="3:11" ht="16.2" thickBot="1" x14ac:dyDescent="0.35">
      <c r="C22" s="16" t="s">
        <v>6</v>
      </c>
      <c r="D22" s="17" t="s">
        <v>37</v>
      </c>
      <c r="E22" s="17" t="s">
        <v>62</v>
      </c>
      <c r="F22" s="19">
        <v>0</v>
      </c>
      <c r="G22" s="37">
        <v>0</v>
      </c>
      <c r="H22" s="38"/>
      <c r="I22" s="19">
        <v>0</v>
      </c>
      <c r="J22" s="19">
        <v>0</v>
      </c>
      <c r="K22" s="21">
        <v>0</v>
      </c>
    </row>
    <row r="23" spans="3:11" ht="31.8" thickBot="1" x14ac:dyDescent="0.35">
      <c r="C23" s="16" t="s">
        <v>7</v>
      </c>
      <c r="D23" s="17" t="s">
        <v>38</v>
      </c>
      <c r="E23" s="17" t="s">
        <v>61</v>
      </c>
      <c r="F23" s="19">
        <v>0</v>
      </c>
      <c r="G23" s="37">
        <v>0</v>
      </c>
      <c r="H23" s="38"/>
      <c r="I23" s="19">
        <v>0</v>
      </c>
      <c r="J23" s="19">
        <v>0</v>
      </c>
      <c r="K23" s="21">
        <v>0</v>
      </c>
    </row>
    <row r="24" spans="3:11" ht="31.8" thickBot="1" x14ac:dyDescent="0.35">
      <c r="C24" s="11" t="s">
        <v>8</v>
      </c>
      <c r="D24" s="12" t="s">
        <v>39</v>
      </c>
      <c r="E24" s="12" t="s">
        <v>61</v>
      </c>
      <c r="F24" s="13">
        <v>457.94</v>
      </c>
      <c r="G24" s="39">
        <f>F24</f>
        <v>457.94</v>
      </c>
      <c r="H24" s="41"/>
      <c r="I24" s="13">
        <v>0</v>
      </c>
      <c r="J24" s="13">
        <f>F24</f>
        <v>457.94</v>
      </c>
      <c r="K24" s="15">
        <f>F24</f>
        <v>457.94</v>
      </c>
    </row>
    <row r="25" spans="3:11" ht="47.4" thickBot="1" x14ac:dyDescent="0.35">
      <c r="C25" s="16" t="s">
        <v>9</v>
      </c>
      <c r="D25" s="17" t="s">
        <v>40</v>
      </c>
      <c r="E25" s="17" t="s">
        <v>61</v>
      </c>
      <c r="F25" s="18">
        <f>F24-F27</f>
        <v>457.94</v>
      </c>
      <c r="G25" s="35">
        <f>F25</f>
        <v>457.94</v>
      </c>
      <c r="H25" s="38"/>
      <c r="I25" s="19">
        <v>0</v>
      </c>
      <c r="J25" s="18">
        <f>F25</f>
        <v>457.94</v>
      </c>
      <c r="K25" s="20">
        <f>F25</f>
        <v>457.94</v>
      </c>
    </row>
    <row r="26" spans="3:11" ht="78.599999999999994" thickBot="1" x14ac:dyDescent="0.35">
      <c r="C26" s="16" t="s">
        <v>10</v>
      </c>
      <c r="D26" s="17" t="s">
        <v>41</v>
      </c>
      <c r="E26" s="17" t="s">
        <v>62</v>
      </c>
      <c r="F26" s="18">
        <v>0</v>
      </c>
      <c r="G26" s="35">
        <f>F26*G16/100</f>
        <v>0</v>
      </c>
      <c r="H26" s="36"/>
      <c r="I26" s="18">
        <v>0</v>
      </c>
      <c r="J26" s="18">
        <f>F26*J16/100</f>
        <v>0</v>
      </c>
      <c r="K26" s="20">
        <f>[1]транспортування!H66</f>
        <v>0</v>
      </c>
    </row>
    <row r="27" spans="3:11" ht="31.8" thickBot="1" x14ac:dyDescent="0.35">
      <c r="C27" s="16" t="s">
        <v>11</v>
      </c>
      <c r="D27" s="17" t="s">
        <v>38</v>
      </c>
      <c r="E27" s="17" t="s">
        <v>61</v>
      </c>
      <c r="F27" s="18">
        <f>[1]транспортування!H67/23261*1000</f>
        <v>0</v>
      </c>
      <c r="G27" s="35">
        <f>F27</f>
        <v>0</v>
      </c>
      <c r="H27" s="38"/>
      <c r="I27" s="19">
        <v>0</v>
      </c>
      <c r="J27" s="18">
        <f>F27</f>
        <v>0</v>
      </c>
      <c r="K27" s="20">
        <f>F27</f>
        <v>0</v>
      </c>
    </row>
    <row r="28" spans="3:11" ht="31.8" thickBot="1" x14ac:dyDescent="0.35">
      <c r="C28" s="11">
        <v>3</v>
      </c>
      <c r="D28" s="12" t="s">
        <v>42</v>
      </c>
      <c r="E28" s="12" t="s">
        <v>61</v>
      </c>
      <c r="F28" s="13">
        <v>169.63</v>
      </c>
      <c r="G28" s="39">
        <f>F28</f>
        <v>169.63</v>
      </c>
      <c r="H28" s="41"/>
      <c r="I28" s="13">
        <v>0</v>
      </c>
      <c r="J28" s="13">
        <f>F28</f>
        <v>169.63</v>
      </c>
      <c r="K28" s="15">
        <f>F28</f>
        <v>169.63</v>
      </c>
    </row>
    <row r="29" spans="3:11" ht="31.8" thickBot="1" x14ac:dyDescent="0.35">
      <c r="C29" s="16" t="s">
        <v>12</v>
      </c>
      <c r="D29" s="17" t="s">
        <v>43</v>
      </c>
      <c r="E29" s="17" t="s">
        <v>61</v>
      </c>
      <c r="F29" s="18">
        <f>F28</f>
        <v>169.63</v>
      </c>
      <c r="G29" s="35">
        <f>F29</f>
        <v>169.63</v>
      </c>
      <c r="H29" s="38"/>
      <c r="I29" s="19">
        <v>0</v>
      </c>
      <c r="J29" s="18">
        <f>F29</f>
        <v>169.63</v>
      </c>
      <c r="K29" s="20">
        <f>F29</f>
        <v>169.63</v>
      </c>
    </row>
    <row r="30" spans="3:11" ht="16.2" thickBot="1" x14ac:dyDescent="0.35">
      <c r="C30" s="16" t="s">
        <v>13</v>
      </c>
      <c r="D30" s="17" t="s">
        <v>37</v>
      </c>
      <c r="E30" s="17" t="s">
        <v>62</v>
      </c>
      <c r="F30" s="19">
        <v>0</v>
      </c>
      <c r="G30" s="37">
        <v>0</v>
      </c>
      <c r="H30" s="38"/>
      <c r="I30" s="19">
        <v>0</v>
      </c>
      <c r="J30" s="19">
        <v>0</v>
      </c>
      <c r="K30" s="21">
        <v>0</v>
      </c>
    </row>
    <row r="31" spans="3:11" ht="31.8" thickBot="1" x14ac:dyDescent="0.35">
      <c r="C31" s="16" t="s">
        <v>14</v>
      </c>
      <c r="D31" s="17" t="s">
        <v>38</v>
      </c>
      <c r="E31" s="17" t="s">
        <v>61</v>
      </c>
      <c r="F31" s="19">
        <v>0</v>
      </c>
      <c r="G31" s="37">
        <v>0</v>
      </c>
      <c r="H31" s="38"/>
      <c r="I31" s="19">
        <v>0</v>
      </c>
      <c r="J31" s="19">
        <v>0</v>
      </c>
      <c r="K31" s="21">
        <v>0</v>
      </c>
    </row>
    <row r="32" spans="3:11" ht="31.8" thickBot="1" x14ac:dyDescent="0.35">
      <c r="C32" s="11">
        <v>4</v>
      </c>
      <c r="D32" s="12" t="s">
        <v>44</v>
      </c>
      <c r="E32" s="12" t="s">
        <v>61</v>
      </c>
      <c r="F32" s="13">
        <f>F33+F34+F35</f>
        <v>3534.6376000000005</v>
      </c>
      <c r="G32" s="39">
        <f>G33+G34+G35-0.01</f>
        <v>3329.9556000000002</v>
      </c>
      <c r="H32" s="40"/>
      <c r="I32" s="14">
        <v>0</v>
      </c>
      <c r="J32" s="13">
        <f>J33+J34+J35+0.01</f>
        <v>4520.4948000000004</v>
      </c>
      <c r="K32" s="15">
        <f>K33+K34+K35</f>
        <v>4339.5767999999998</v>
      </c>
    </row>
    <row r="33" spans="3:11" ht="31.8" thickBot="1" x14ac:dyDescent="0.35">
      <c r="C33" s="16" t="s">
        <v>15</v>
      </c>
      <c r="D33" s="17" t="s">
        <v>45</v>
      </c>
      <c r="E33" s="17" t="s">
        <v>61</v>
      </c>
      <c r="F33" s="18">
        <f>F21+F25+F29+0.01</f>
        <v>3398.6900000000005</v>
      </c>
      <c r="G33" s="35">
        <f>G21+G25+G29</f>
        <v>3201.8900000000003</v>
      </c>
      <c r="H33" s="38"/>
      <c r="I33" s="19">
        <v>0</v>
      </c>
      <c r="J33" s="18">
        <f>J21+J25+J29</f>
        <v>4346.62</v>
      </c>
      <c r="K33" s="20">
        <f>K21+K25+K29</f>
        <v>4172.67</v>
      </c>
    </row>
    <row r="34" spans="3:11" ht="16.2" thickBot="1" x14ac:dyDescent="0.35">
      <c r="C34" s="16" t="s">
        <v>16</v>
      </c>
      <c r="D34" s="17" t="s">
        <v>37</v>
      </c>
      <c r="E34" s="17" t="s">
        <v>62</v>
      </c>
      <c r="F34" s="18">
        <v>0</v>
      </c>
      <c r="G34" s="35">
        <f>F34*0.8760222562</f>
        <v>0</v>
      </c>
      <c r="H34" s="36"/>
      <c r="I34" s="18">
        <v>0</v>
      </c>
      <c r="J34" s="18">
        <f>F34*0.09578400986</f>
        <v>0</v>
      </c>
      <c r="K34" s="20">
        <f>F34*0.028193733896</f>
        <v>0</v>
      </c>
    </row>
    <row r="35" spans="3:11" ht="31.8" thickBot="1" x14ac:dyDescent="0.35">
      <c r="C35" s="16" t="s">
        <v>17</v>
      </c>
      <c r="D35" s="17" t="s">
        <v>46</v>
      </c>
      <c r="E35" s="17" t="s">
        <v>61</v>
      </c>
      <c r="F35" s="18">
        <f>F33*0.04</f>
        <v>135.94760000000002</v>
      </c>
      <c r="G35" s="35">
        <f>G33*0.04</f>
        <v>128.07560000000001</v>
      </c>
      <c r="H35" s="38"/>
      <c r="I35" s="19">
        <v>0</v>
      </c>
      <c r="J35" s="18">
        <f>J33*0.04</f>
        <v>173.8648</v>
      </c>
      <c r="K35" s="20">
        <f>K33*0.04</f>
        <v>166.9068</v>
      </c>
    </row>
    <row r="36" spans="3:11" ht="63" thickBot="1" x14ac:dyDescent="0.35">
      <c r="C36" s="16">
        <v>5</v>
      </c>
      <c r="D36" s="17" t="s">
        <v>47</v>
      </c>
      <c r="E36" s="17" t="s">
        <v>62</v>
      </c>
      <c r="F36" s="18">
        <v>69300.02</v>
      </c>
      <c r="G36" s="35">
        <f>G37+G39</f>
        <v>53745.624784000014</v>
      </c>
      <c r="H36" s="36"/>
      <c r="I36" s="19">
        <v>0</v>
      </c>
      <c r="J36" s="18">
        <f>J37+J39-0.01</f>
        <v>12829.1358624</v>
      </c>
      <c r="K36" s="20">
        <f>K37+K39+0.01</f>
        <v>2725.2642304000001</v>
      </c>
    </row>
    <row r="37" spans="3:11" ht="47.4" thickBot="1" x14ac:dyDescent="0.35">
      <c r="C37" s="16" t="s">
        <v>18</v>
      </c>
      <c r="D37" s="17" t="s">
        <v>48</v>
      </c>
      <c r="E37" s="17" t="s">
        <v>62</v>
      </c>
      <c r="F37" s="18">
        <v>66634.63</v>
      </c>
      <c r="G37" s="18">
        <f>(G21+G25+G29)*G44/1000-0.02</f>
        <v>51678.484600000011</v>
      </c>
      <c r="H37" s="18"/>
      <c r="I37" s="19">
        <f>I33*20600/1000</f>
        <v>0</v>
      </c>
      <c r="J37" s="18">
        <f>(J21+J25+J29)*J44/1000+0.01</f>
        <v>12335.717560000001</v>
      </c>
      <c r="K37" s="18">
        <f>(K21+K25+K29)*K45/1000</f>
        <v>2620.43676</v>
      </c>
    </row>
    <row r="38" spans="3:11" ht="16.2" thickBot="1" x14ac:dyDescent="0.35">
      <c r="C38" s="16" t="s">
        <v>19</v>
      </c>
      <c r="D38" s="17" t="s">
        <v>37</v>
      </c>
      <c r="E38" s="17" t="s">
        <v>62</v>
      </c>
      <c r="F38" s="18">
        <f>F34</f>
        <v>0</v>
      </c>
      <c r="G38" s="35">
        <f>G34</f>
        <v>0</v>
      </c>
      <c r="H38" s="38"/>
      <c r="I38" s="19">
        <v>0</v>
      </c>
      <c r="J38" s="18">
        <f>J34</f>
        <v>0</v>
      </c>
      <c r="K38" s="20">
        <f>K34</f>
        <v>0</v>
      </c>
    </row>
    <row r="39" spans="3:11" ht="47.4" thickBot="1" x14ac:dyDescent="0.35">
      <c r="C39" s="16" t="s">
        <v>20</v>
      </c>
      <c r="D39" s="17" t="s">
        <v>49</v>
      </c>
      <c r="E39" s="17" t="s">
        <v>62</v>
      </c>
      <c r="F39" s="18">
        <f>F35*F45/1000</f>
        <v>2665.3886456000005</v>
      </c>
      <c r="G39" s="35">
        <f>G35*G44/1000</f>
        <v>2067.1401840000003</v>
      </c>
      <c r="H39" s="36"/>
      <c r="I39" s="19">
        <f>0</f>
        <v>0</v>
      </c>
      <c r="J39" s="18">
        <f>J35*J45/1000</f>
        <v>493.42830240000001</v>
      </c>
      <c r="K39" s="20">
        <f>K35*K45/1000</f>
        <v>104.8174704</v>
      </c>
    </row>
    <row r="40" spans="3:11" ht="109.8" thickBot="1" x14ac:dyDescent="0.35">
      <c r="C40" s="16">
        <v>6</v>
      </c>
      <c r="D40" s="17" t="s">
        <v>50</v>
      </c>
      <c r="E40" s="17" t="s">
        <v>62</v>
      </c>
      <c r="F40" s="18">
        <f t="shared" ref="F40:G42" si="0">F36</f>
        <v>69300.02</v>
      </c>
      <c r="G40" s="35">
        <f t="shared" si="0"/>
        <v>53745.624784000014</v>
      </c>
      <c r="H40" s="36"/>
      <c r="I40" s="19">
        <v>0</v>
      </c>
      <c r="J40" s="18">
        <f>J36</f>
        <v>12829.1358624</v>
      </c>
      <c r="K40" s="20">
        <f t="shared" ref="J40:K42" si="1">K36</f>
        <v>2725.2642304000001</v>
      </c>
    </row>
    <row r="41" spans="3:11" ht="47.4" thickBot="1" x14ac:dyDescent="0.35">
      <c r="C41" s="16" t="s">
        <v>21</v>
      </c>
      <c r="D41" s="17" t="s">
        <v>48</v>
      </c>
      <c r="E41" s="17" t="s">
        <v>62</v>
      </c>
      <c r="F41" s="18">
        <f t="shared" si="0"/>
        <v>66634.63</v>
      </c>
      <c r="G41" s="35">
        <f t="shared" si="0"/>
        <v>51678.484600000011</v>
      </c>
      <c r="H41" s="36"/>
      <c r="I41" s="18"/>
      <c r="J41" s="18">
        <f t="shared" si="1"/>
        <v>12335.717560000001</v>
      </c>
      <c r="K41" s="20">
        <f t="shared" si="1"/>
        <v>2620.43676</v>
      </c>
    </row>
    <row r="42" spans="3:11" ht="16.2" thickBot="1" x14ac:dyDescent="0.35">
      <c r="C42" s="16" t="s">
        <v>22</v>
      </c>
      <c r="D42" s="17" t="s">
        <v>37</v>
      </c>
      <c r="E42" s="17" t="s">
        <v>62</v>
      </c>
      <c r="F42" s="18">
        <f t="shared" si="0"/>
        <v>0</v>
      </c>
      <c r="G42" s="35">
        <f t="shared" si="0"/>
        <v>0</v>
      </c>
      <c r="H42" s="38"/>
      <c r="I42" s="19">
        <v>0</v>
      </c>
      <c r="J42" s="18">
        <f t="shared" si="1"/>
        <v>0</v>
      </c>
      <c r="K42" s="20">
        <f t="shared" si="1"/>
        <v>0</v>
      </c>
    </row>
    <row r="43" spans="3:11" ht="47.4" thickBot="1" x14ac:dyDescent="0.35">
      <c r="C43" s="16" t="s">
        <v>23</v>
      </c>
      <c r="D43" s="17" t="s">
        <v>49</v>
      </c>
      <c r="E43" s="17" t="s">
        <v>62</v>
      </c>
      <c r="F43" s="18">
        <f>F39</f>
        <v>2665.3886456000005</v>
      </c>
      <c r="G43" s="35">
        <f>G39</f>
        <v>2067.1401840000003</v>
      </c>
      <c r="H43" s="38"/>
      <c r="I43" s="19">
        <v>0</v>
      </c>
      <c r="J43" s="18">
        <f>J35*J45/1000</f>
        <v>493.42830240000001</v>
      </c>
      <c r="K43" s="20">
        <f>K45*K35/1000</f>
        <v>104.8174704</v>
      </c>
    </row>
    <row r="44" spans="3:11" ht="78.599999999999994" thickBot="1" x14ac:dyDescent="0.35">
      <c r="C44" s="16">
        <v>7</v>
      </c>
      <c r="D44" s="17" t="s">
        <v>51</v>
      </c>
      <c r="E44" s="17" t="s">
        <v>63</v>
      </c>
      <c r="F44" s="19">
        <v>19606</v>
      </c>
      <c r="G44" s="37">
        <v>16140</v>
      </c>
      <c r="H44" s="38"/>
      <c r="I44" s="19">
        <v>0</v>
      </c>
      <c r="J44" s="18">
        <v>2838</v>
      </c>
      <c r="K44" s="21">
        <v>628</v>
      </c>
    </row>
    <row r="45" spans="3:11" ht="31.8" thickBot="1" x14ac:dyDescent="0.35">
      <c r="C45" s="16" t="s">
        <v>24</v>
      </c>
      <c r="D45" s="17" t="s">
        <v>52</v>
      </c>
      <c r="E45" s="17" t="s">
        <v>63</v>
      </c>
      <c r="F45" s="19">
        <v>19606</v>
      </c>
      <c r="G45" s="37">
        <v>16140</v>
      </c>
      <c r="H45" s="38"/>
      <c r="I45" s="19">
        <v>0</v>
      </c>
      <c r="J45" s="19">
        <v>2838</v>
      </c>
      <c r="K45" s="21">
        <v>628</v>
      </c>
    </row>
    <row r="46" spans="3:11" ht="31.8" thickBot="1" x14ac:dyDescent="0.35">
      <c r="C46" s="16" t="s">
        <v>25</v>
      </c>
      <c r="D46" s="17" t="s">
        <v>53</v>
      </c>
      <c r="E46" s="17" t="s">
        <v>63</v>
      </c>
      <c r="F46" s="19">
        <v>0</v>
      </c>
      <c r="G46" s="37">
        <v>0</v>
      </c>
      <c r="H46" s="38"/>
      <c r="I46" s="19">
        <v>0</v>
      </c>
      <c r="J46" s="19">
        <v>0</v>
      </c>
      <c r="K46" s="21">
        <v>0</v>
      </c>
    </row>
    <row r="47" spans="3:11" ht="16.2" thickBot="1" x14ac:dyDescent="0.35">
      <c r="C47" s="16">
        <v>8</v>
      </c>
      <c r="D47" s="17" t="s">
        <v>54</v>
      </c>
      <c r="E47" s="22"/>
      <c r="F47" s="19"/>
      <c r="G47" s="37"/>
      <c r="H47" s="38"/>
      <c r="I47" s="19"/>
      <c r="J47" s="19"/>
      <c r="K47" s="21"/>
    </row>
    <row r="48" spans="3:11" ht="16.2" thickBot="1" x14ac:dyDescent="0.35">
      <c r="C48" s="16" t="s">
        <v>26</v>
      </c>
      <c r="D48" s="17" t="s">
        <v>55</v>
      </c>
      <c r="E48" s="17" t="s">
        <v>64</v>
      </c>
      <c r="F48" s="19">
        <v>0</v>
      </c>
      <c r="G48" s="37">
        <v>0</v>
      </c>
      <c r="H48" s="38"/>
      <c r="I48" s="19">
        <v>0</v>
      </c>
      <c r="J48" s="19">
        <v>0</v>
      </c>
      <c r="K48" s="21">
        <v>0</v>
      </c>
    </row>
    <row r="49" spans="3:11" ht="31.8" thickBot="1" x14ac:dyDescent="0.35">
      <c r="C49" s="16" t="s">
        <v>27</v>
      </c>
      <c r="D49" s="17" t="s">
        <v>56</v>
      </c>
      <c r="E49" s="17" t="s">
        <v>64</v>
      </c>
      <c r="F49" s="18">
        <f>F27*100/F24</f>
        <v>0</v>
      </c>
      <c r="G49" s="35">
        <f>G27*100/G24</f>
        <v>0</v>
      </c>
      <c r="H49" s="36"/>
      <c r="I49" s="19">
        <v>0</v>
      </c>
      <c r="J49" s="18">
        <f>J27*100/J24</f>
        <v>0</v>
      </c>
      <c r="K49" s="20">
        <f>K27*100/K24</f>
        <v>0</v>
      </c>
    </row>
    <row r="50" spans="3:11" ht="15.6" x14ac:dyDescent="0.3">
      <c r="C50" s="23" t="s">
        <v>28</v>
      </c>
      <c r="D50" s="24" t="s">
        <v>57</v>
      </c>
      <c r="E50" s="24" t="s">
        <v>64</v>
      </c>
      <c r="F50" s="25">
        <v>0</v>
      </c>
      <c r="G50" s="58">
        <v>0</v>
      </c>
      <c r="H50" s="59"/>
      <c r="I50" s="25">
        <v>0</v>
      </c>
      <c r="J50" s="25">
        <v>0</v>
      </c>
      <c r="K50" s="26">
        <v>0</v>
      </c>
    </row>
    <row r="51" spans="3:11" ht="15.6" x14ac:dyDescent="0.3">
      <c r="C51" s="27" t="s">
        <v>29</v>
      </c>
      <c r="D51" s="28" t="s">
        <v>58</v>
      </c>
      <c r="E51" s="28" t="s">
        <v>64</v>
      </c>
      <c r="F51" s="29">
        <v>4</v>
      </c>
      <c r="G51" s="60">
        <v>4</v>
      </c>
      <c r="H51" s="60"/>
      <c r="I51" s="29">
        <v>0</v>
      </c>
      <c r="J51" s="29">
        <v>4</v>
      </c>
      <c r="K51" s="29">
        <v>4</v>
      </c>
    </row>
    <row r="52" spans="3:11" ht="15.6" x14ac:dyDescent="0.3">
      <c r="C52" s="61" t="s">
        <v>30</v>
      </c>
      <c r="D52" s="62"/>
      <c r="E52" s="62"/>
      <c r="F52" s="62"/>
      <c r="G52" s="62"/>
      <c r="H52" s="62"/>
      <c r="I52" s="62"/>
      <c r="J52" s="62"/>
      <c r="K52" s="63"/>
    </row>
    <row r="53" spans="3:11" ht="15.6" x14ac:dyDescent="0.3">
      <c r="C53" s="55" t="s">
        <v>31</v>
      </c>
      <c r="D53" s="56"/>
      <c r="E53" s="56"/>
      <c r="F53" s="56" t="s">
        <v>66</v>
      </c>
      <c r="G53" s="56"/>
      <c r="H53" s="56" t="s">
        <v>70</v>
      </c>
      <c r="I53" s="56"/>
      <c r="J53" s="56"/>
      <c r="K53" s="57"/>
    </row>
    <row r="54" spans="3:11" ht="15.6" x14ac:dyDescent="0.3">
      <c r="C54" s="55" t="s">
        <v>32</v>
      </c>
      <c r="D54" s="56"/>
      <c r="E54" s="56"/>
      <c r="F54" s="56" t="s">
        <v>67</v>
      </c>
      <c r="G54" s="56"/>
      <c r="H54" s="56" t="s">
        <v>71</v>
      </c>
      <c r="I54" s="56"/>
      <c r="J54" s="56"/>
      <c r="K54" s="57"/>
    </row>
    <row r="55" spans="3:11" x14ac:dyDescent="0.3">
      <c r="C55" s="30"/>
      <c r="D55" s="31" t="s">
        <v>59</v>
      </c>
      <c r="E55" s="31"/>
      <c r="F55" s="31"/>
      <c r="G55" s="31"/>
      <c r="H55" s="31"/>
      <c r="I55" s="31"/>
      <c r="J55" s="31"/>
      <c r="K55" s="32"/>
    </row>
  </sheetData>
  <mergeCells count="53">
    <mergeCell ref="C54:E54"/>
    <mergeCell ref="F54:G54"/>
    <mergeCell ref="H54:K54"/>
    <mergeCell ref="G50:H50"/>
    <mergeCell ref="G51:H51"/>
    <mergeCell ref="C52:K52"/>
    <mergeCell ref="C53:E53"/>
    <mergeCell ref="F53:G53"/>
    <mergeCell ref="H53:K53"/>
    <mergeCell ref="G49:H49"/>
    <mergeCell ref="G33:H33"/>
    <mergeCell ref="G34:H34"/>
    <mergeCell ref="G35:H35"/>
    <mergeCell ref="G36:H36"/>
    <mergeCell ref="G38:H38"/>
    <mergeCell ref="G39:H39"/>
    <mergeCell ref="G41:H41"/>
    <mergeCell ref="G42:H42"/>
    <mergeCell ref="G43:H43"/>
    <mergeCell ref="G44:H44"/>
    <mergeCell ref="G45:H45"/>
    <mergeCell ref="G46:H46"/>
    <mergeCell ref="G47:H47"/>
    <mergeCell ref="G48:H48"/>
    <mergeCell ref="G25:H25"/>
    <mergeCell ref="G26:H26"/>
    <mergeCell ref="G27:H27"/>
    <mergeCell ref="G28:H28"/>
    <mergeCell ref="G29:H29"/>
    <mergeCell ref="J14:K14"/>
    <mergeCell ref="C15:K15"/>
    <mergeCell ref="C17:C18"/>
    <mergeCell ref="D17:D18"/>
    <mergeCell ref="E17:E18"/>
    <mergeCell ref="F17:F18"/>
    <mergeCell ref="G17:K17"/>
    <mergeCell ref="G18:H18"/>
    <mergeCell ref="I8:K8"/>
    <mergeCell ref="I9:K9"/>
    <mergeCell ref="I10:K10"/>
    <mergeCell ref="I11:K11"/>
    <mergeCell ref="G40:H40"/>
    <mergeCell ref="G31:H31"/>
    <mergeCell ref="G32:H32"/>
    <mergeCell ref="G21:H21"/>
    <mergeCell ref="G22:H22"/>
    <mergeCell ref="G23:H23"/>
    <mergeCell ref="G24:H24"/>
    <mergeCell ref="G19:H19"/>
    <mergeCell ref="G20:H20"/>
    <mergeCell ref="C12:K12"/>
    <mergeCell ref="C13:K13"/>
    <mergeCell ref="G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Розрахунок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2026-02-05T07:39:41Z</dcterms:modified>
</cp:coreProperties>
</file>