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F89D2B1E-6ED0-4054-B8F2-38C571D9E655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Структура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8" i="4" l="1"/>
  <c r="G16" i="4"/>
  <c r="D47" i="4" l="1"/>
  <c r="E47" i="4" s="1"/>
  <c r="J44" i="4"/>
  <c r="J48" i="4" s="1"/>
  <c r="H44" i="4"/>
  <c r="H48" i="4" s="1"/>
  <c r="F44" i="4"/>
  <c r="F48" i="4" s="1"/>
  <c r="K43" i="4"/>
  <c r="K44" i="4" s="1"/>
  <c r="K48" i="4" s="1"/>
  <c r="I43" i="4"/>
  <c r="G43" i="4"/>
  <c r="G44" i="4" s="1"/>
  <c r="G48" i="4" s="1"/>
  <c r="H39" i="4"/>
  <c r="I39" i="4" s="1"/>
  <c r="E39" i="4"/>
  <c r="J39" i="4"/>
  <c r="K39" i="4" s="1"/>
  <c r="J38" i="4"/>
  <c r="K38" i="4" s="1"/>
  <c r="I38" i="4"/>
  <c r="F38" i="4"/>
  <c r="G38" i="4" s="1"/>
  <c r="E38" i="4"/>
  <c r="J37" i="4"/>
  <c r="K37" i="4" s="1"/>
  <c r="F37" i="4"/>
  <c r="G37" i="4" s="1"/>
  <c r="E37" i="4"/>
  <c r="H37" i="4"/>
  <c r="I37" i="4" s="1"/>
  <c r="J36" i="4"/>
  <c r="K36" i="4" s="1"/>
  <c r="F36" i="4"/>
  <c r="G36" i="4" s="1"/>
  <c r="E36" i="4"/>
  <c r="H36" i="4"/>
  <c r="I36" i="4" s="1"/>
  <c r="I35" i="4" s="1"/>
  <c r="J34" i="4"/>
  <c r="K34" i="4" s="1"/>
  <c r="F34" i="4"/>
  <c r="G34" i="4" s="1"/>
  <c r="E34" i="4"/>
  <c r="H34" i="4"/>
  <c r="I34" i="4" s="1"/>
  <c r="J33" i="4"/>
  <c r="K33" i="4" s="1"/>
  <c r="I33" i="4"/>
  <c r="F33" i="4"/>
  <c r="G33" i="4" s="1"/>
  <c r="E33" i="4"/>
  <c r="H33" i="4"/>
  <c r="J32" i="4"/>
  <c r="K32" i="4" s="1"/>
  <c r="F32" i="4"/>
  <c r="E32" i="4"/>
  <c r="H32" i="4"/>
  <c r="J30" i="4"/>
  <c r="K30" i="4" s="1"/>
  <c r="F30" i="4"/>
  <c r="G30" i="4" s="1"/>
  <c r="E30" i="4"/>
  <c r="H30" i="4"/>
  <c r="I30" i="4" s="1"/>
  <c r="J29" i="4"/>
  <c r="K29" i="4" s="1"/>
  <c r="I29" i="4"/>
  <c r="F29" i="4"/>
  <c r="G29" i="4" s="1"/>
  <c r="E29" i="4"/>
  <c r="H29" i="4"/>
  <c r="J28" i="4"/>
  <c r="K28" i="4" s="1"/>
  <c r="F28" i="4"/>
  <c r="G28" i="4" s="1"/>
  <c r="E28" i="4"/>
  <c r="H28" i="4"/>
  <c r="J26" i="4"/>
  <c r="K26" i="4" s="1"/>
  <c r="F26" i="4"/>
  <c r="G26" i="4" s="1"/>
  <c r="E26" i="4"/>
  <c r="H26" i="4"/>
  <c r="I26" i="4" s="1"/>
  <c r="J25" i="4"/>
  <c r="K25" i="4" s="1"/>
  <c r="F25" i="4"/>
  <c r="G25" i="4" s="1"/>
  <c r="E25" i="4"/>
  <c r="H25" i="4"/>
  <c r="I25" i="4" s="1"/>
  <c r="J24" i="4"/>
  <c r="K24" i="4" s="1"/>
  <c r="F24" i="4"/>
  <c r="G24" i="4" s="1"/>
  <c r="E24" i="4"/>
  <c r="H24" i="4"/>
  <c r="D23" i="4"/>
  <c r="J22" i="4"/>
  <c r="K22" i="4" s="1"/>
  <c r="I22" i="4"/>
  <c r="F22" i="4"/>
  <c r="G22" i="4" s="1"/>
  <c r="E22" i="4"/>
  <c r="H22" i="4"/>
  <c r="J21" i="4"/>
  <c r="K21" i="4" s="1"/>
  <c r="F21" i="4"/>
  <c r="G21" i="4" s="1"/>
  <c r="E21" i="4"/>
  <c r="H21" i="4"/>
  <c r="I21" i="4" s="1"/>
  <c r="J19" i="4"/>
  <c r="K19" i="4" s="1"/>
  <c r="F19" i="4"/>
  <c r="G19" i="4" s="1"/>
  <c r="E19" i="4"/>
  <c r="H19" i="4"/>
  <c r="I19" i="4" s="1"/>
  <c r="J17" i="4"/>
  <c r="F17" i="4"/>
  <c r="G17" i="4" s="1"/>
  <c r="E17" i="4"/>
  <c r="H17" i="4"/>
  <c r="I16" i="4"/>
  <c r="E16" i="4"/>
  <c r="D15" i="4"/>
  <c r="K31" i="4" l="1"/>
  <c r="F47" i="4"/>
  <c r="G47" i="4" s="1"/>
  <c r="D14" i="4"/>
  <c r="K27" i="4"/>
  <c r="G32" i="4"/>
  <c r="F31" i="4"/>
  <c r="J47" i="4"/>
  <c r="K47" i="4" s="1"/>
  <c r="J35" i="4"/>
  <c r="H35" i="4"/>
  <c r="K35" i="4"/>
  <c r="E35" i="4"/>
  <c r="H31" i="4"/>
  <c r="J31" i="4"/>
  <c r="I32" i="4"/>
  <c r="I31" i="4" s="1"/>
  <c r="E31" i="4"/>
  <c r="H27" i="4"/>
  <c r="J27" i="4"/>
  <c r="I28" i="4"/>
  <c r="I27" i="4" s="1"/>
  <c r="E27" i="4"/>
  <c r="K23" i="4"/>
  <c r="H23" i="4"/>
  <c r="J23" i="4"/>
  <c r="I24" i="4"/>
  <c r="I23" i="4" s="1"/>
  <c r="E23" i="4"/>
  <c r="E15" i="4"/>
  <c r="J15" i="4"/>
  <c r="K17" i="4"/>
  <c r="D44" i="4"/>
  <c r="D48" i="4" s="1"/>
  <c r="E43" i="4"/>
  <c r="F15" i="4"/>
  <c r="G15" i="4"/>
  <c r="K16" i="4"/>
  <c r="H15" i="4"/>
  <c r="I17" i="4"/>
  <c r="I15" i="4" s="1"/>
  <c r="F23" i="4"/>
  <c r="F27" i="4"/>
  <c r="F35" i="4"/>
  <c r="I44" i="4"/>
  <c r="I48" i="4" s="1"/>
  <c r="G23" i="4"/>
  <c r="G27" i="4"/>
  <c r="G31" i="4"/>
  <c r="G35" i="4"/>
  <c r="H47" i="4"/>
  <c r="I47" i="4" s="1"/>
  <c r="K15" i="4" l="1"/>
  <c r="K14" i="4" s="1"/>
  <c r="K41" i="4" s="1"/>
  <c r="K50" i="4" s="1"/>
  <c r="J14" i="4"/>
  <c r="J41" i="4" s="1"/>
  <c r="J50" i="4" s="1"/>
  <c r="J51" i="4" s="1"/>
  <c r="H14" i="4"/>
  <c r="J52" i="4"/>
  <c r="J53" i="4" s="1"/>
  <c r="I14" i="4"/>
  <c r="I41" i="4" s="1"/>
  <c r="I50" i="4" s="1"/>
  <c r="E14" i="4"/>
  <c r="E44" i="4"/>
  <c r="E48" i="4" s="1"/>
  <c r="G14" i="4"/>
  <c r="G41" i="4" s="1"/>
  <c r="G50" i="4" s="1"/>
  <c r="F14" i="4"/>
  <c r="F41" i="4" s="1"/>
  <c r="H41" i="4" l="1"/>
  <c r="H50" i="4" s="1"/>
  <c r="F50" i="4"/>
  <c r="F51" i="4" s="1"/>
  <c r="D41" i="4"/>
  <c r="F52" i="4"/>
  <c r="F53" i="4" s="1"/>
  <c r="H51" i="4" l="1"/>
  <c r="H52" i="4"/>
  <c r="H53" i="4" s="1"/>
  <c r="D52" i="4"/>
  <c r="D53" i="4" s="1"/>
  <c r="D50" i="4"/>
  <c r="E50" i="4" l="1"/>
  <c r="E55" i="4" s="1"/>
  <c r="D55" i="4"/>
  <c r="D51" i="4"/>
</calcChain>
</file>

<file path=xl/sharedStrings.xml><?xml version="1.0" encoding="utf-8"?>
<sst xmlns="http://schemas.openxmlformats.org/spreadsheetml/2006/main" count="109" uniqueCount="92">
  <si>
    <t>№ з/п</t>
  </si>
  <si>
    <t>1.1</t>
  </si>
  <si>
    <t>8.3</t>
  </si>
  <si>
    <t>8.4</t>
  </si>
  <si>
    <t>грн/Гкал</t>
  </si>
  <si>
    <t>населення</t>
  </si>
  <si>
    <t>бюджетних установ</t>
  </si>
  <si>
    <t xml:space="preserve">Структура </t>
  </si>
  <si>
    <t>тарифів на теплову енергію на опалювальний період 2025-2026 років</t>
  </si>
  <si>
    <t>по КП " БГВУЖКГ"</t>
  </si>
  <si>
    <t>зміни на тариф  розподілу газу з  01.01.2026 р.</t>
  </si>
  <si>
    <t>(без ПДВ)</t>
  </si>
  <si>
    <t>Сумарні та середньо-</t>
  </si>
  <si>
    <t>Для потреб</t>
  </si>
  <si>
    <t>Найменування  показників</t>
  </si>
  <si>
    <t>зважені показники</t>
  </si>
  <si>
    <t>інших споживачів</t>
  </si>
  <si>
    <t>тис.грн на</t>
  </si>
  <si>
    <t>рік</t>
  </si>
  <si>
    <t>1.</t>
  </si>
  <si>
    <t>Виробнича собівартість,у т.ч.:</t>
  </si>
  <si>
    <t>прямі матеріальні витрати, у т.ч.:</t>
  </si>
  <si>
    <t xml:space="preserve">1.1.1 </t>
  </si>
  <si>
    <t>витрати на паливо</t>
  </si>
  <si>
    <t>1.1.2</t>
  </si>
  <si>
    <t>витрати на електроенергію</t>
  </si>
  <si>
    <t>1.1.3</t>
  </si>
  <si>
    <t>вода для технологічних потреб</t>
  </si>
  <si>
    <t>та водовідведення</t>
  </si>
  <si>
    <t>1.1.4</t>
  </si>
  <si>
    <t>матеріали,запасні частини та інші</t>
  </si>
  <si>
    <t>матеріальні ресурси</t>
  </si>
  <si>
    <t>1.2</t>
  </si>
  <si>
    <t>прямі витрати на оплату праці</t>
  </si>
  <si>
    <t>1.3</t>
  </si>
  <si>
    <t>інші прямі витрати, у т.ч.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</si>
  <si>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</si>
  <si>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</si>
  <si>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</si>
  <si>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</si>
  <si>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</si>
  <si>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</si>
  <si>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</si>
  <si>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т.ч.</t>
  </si>
  <si>
    <t>1.4.1</t>
  </si>
  <si>
    <t>витрати на оплату праці</t>
  </si>
  <si>
    <t>1.4.2</t>
  </si>
  <si>
    <t>витрати на соціальні заходи</t>
  </si>
  <si>
    <t>1.4.3</t>
  </si>
  <si>
    <t>інші витрати</t>
  </si>
  <si>
    <t>2</t>
  </si>
  <si>
    <t>Адміністративні витрати, у т.ч.</t>
  </si>
  <si>
    <t>2.1</t>
  </si>
  <si>
    <t>2.2</t>
  </si>
  <si>
    <t>2.3</t>
  </si>
  <si>
    <t>3</t>
  </si>
  <si>
    <t>Витрати на збут, у т.ч.</t>
  </si>
  <si>
    <t>3.1</t>
  </si>
  <si>
    <t>3.2</t>
  </si>
  <si>
    <t>3.3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</si>
  <si>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</si>
  <si>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</si>
  <si>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</si>
  <si>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</si>
  <si>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</si>
  <si>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</si>
  <si>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</si>
  <si>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Витрати на покриття втрат</t>
  </si>
  <si>
    <t>8</t>
  </si>
  <si>
    <t>Розрахунковий прибуток, у т.ч.</t>
  </si>
  <si>
    <t>8.1</t>
  </si>
  <si>
    <t>податок на прибуток</t>
  </si>
  <si>
    <t>8.2</t>
  </si>
  <si>
    <t>резервний фонд(капітал) та дивіденди</t>
  </si>
  <si>
    <t>на розвиток виробництва(виробничі</t>
  </si>
  <si>
    <t>інвестиції)</t>
  </si>
  <si>
    <t>інше використання прибутку</t>
  </si>
  <si>
    <t>9</t>
  </si>
  <si>
    <t>Вартість теплової енергії за відповідними</t>
  </si>
  <si>
    <t>тарифами</t>
  </si>
  <si>
    <t>10</t>
  </si>
  <si>
    <t>Тарифи на теплову енергію, грн/Гкал</t>
  </si>
  <si>
    <t>11</t>
  </si>
  <si>
    <t>Паливна складова у %%</t>
  </si>
  <si>
    <t>12</t>
  </si>
  <si>
    <t>Решта витрат,крім паливної складової %%</t>
  </si>
  <si>
    <t>13</t>
  </si>
  <si>
    <t>Обсяг реалізації теплової енергії, Гкал</t>
  </si>
  <si>
    <t>14</t>
  </si>
  <si>
    <t>Рівень рентабельності,%</t>
  </si>
  <si>
    <t>Начальник КП "БГВУЖКГ"                                                                       Віктор КАМІНСЬКИЙ</t>
  </si>
  <si>
    <t>Головний економіст                                                                                 Галина КОЗАКЕВИЧ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</si>
</sst>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0" fontId="0" fillId="0" borderId="0" xfId="0" applyNumberFormat="1"/>
    <xf numFmtId="49" fontId="0" fillId="0" borderId="0" xfId="0" applyNumberFormat="1"/>
    <xf numFmtId="0" fontId="0" fillId="0" borderId="2" xfId="0" applyBorder="1"/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/>
    <xf numFmtId="49" fontId="0" fillId="0" borderId="9" xfId="0" applyNumberForma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9" xfId="0" applyFont="1" applyBorder="1"/>
    <xf numFmtId="0" fontId="0" fillId="0" borderId="11" xfId="0" applyFont="1" applyBorder="1"/>
    <xf numFmtId="0" fontId="1" fillId="0" borderId="9" xfId="0" applyFont="1" applyBorder="1"/>
    <xf numFmtId="0" fontId="1" fillId="0" borderId="11" xfId="0" applyFont="1" applyBorder="1"/>
    <xf numFmtId="2" fontId="1" fillId="0" borderId="11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shchuk/Desktop/&#1057;&#1090;&#1072;&#1088;&#1110;%20&#1076;&#1072;&#1085;&#1110;/&#1040;&#1083;&#1083;&#1072;/&#1072;&#1083;&#1083;&#1072;/&#1058;&#1040;&#1056;&#1048;&#1060;&#1048;/&#1041;&#1086;&#1103;&#1088;&#1089;&#1100;&#1082;&#1077;%20&#1043;&#1042;&#1059;&#1046;&#1050;&#1043;/&#1055;&#1083;&#1072;&#1085;&#1086;&#1074;&#1080;&#1081;%20&#1090;&#1072;&#1088;&#1080;&#1092;%20&#1085;&#1072;%20&#1090;&#1077;&#1087;&#1083;&#1086;%202025-2026%20&#1082;&#1086;&#1088;&#1080;&#1075;.&#1085;&#1072;%20&#1088;&#1086;&#1079;&#1087;&#1086;&#1076;&#1110;&#1083;%20&#1075;&#1072;&#1079;&#1091;,&#1085;&#1086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  <sheetName val="Лист1"/>
      <sheetName val="2"/>
      <sheetName val="розрах вартості палива"/>
      <sheetName val="Лист3"/>
      <sheetName val="Лист2"/>
      <sheetName val="розр.екон. ефе по інвест прогр."/>
      <sheetName val="Середня ціна електроенергії"/>
      <sheetName val="розрах витрат електроенергії"/>
      <sheetName val="інформ.про суб.ВВ"/>
      <sheetName val="електроенергія на ремонт"/>
      <sheetName val="розр.абон.плати"/>
      <sheetName val=" вода і стоки"/>
      <sheetName val="Розрах. зп на вир.тран.і пост "/>
      <sheetName val="накладні витрат. "/>
      <sheetName val="транспортування"/>
      <sheetName val="постачання"/>
      <sheetName val="теплова енергія з прибутком"/>
      <sheetName val="Аркуш3"/>
      <sheetName val="Аркуш1"/>
      <sheetName val="про намір  нові тарифи"/>
      <sheetName val="обгрунтування зміни тарифів"/>
      <sheetName val="вода, стоки на вир.транспортув."/>
      <sheetName val="середня ціна палива за опал.пер"/>
      <sheetName val="розр."/>
      <sheetName val="виробництво"/>
      <sheetName val=" різниця в тарифах"/>
      <sheetName val="Розрахунок інших операц витрат"/>
      <sheetName val="пояснювальна запика"/>
      <sheetName val="розрах.амортизації"/>
      <sheetName val="повідомл.про намір"/>
      <sheetName val="структура тарифу на тепл.енергі"/>
      <sheetName val="Роз&quot;яснення по абон.платі"/>
      <sheetName val="перелік поданих докумен"/>
      <sheetName val="Розр.витрат солі на Космосі"/>
      <sheetName val="інформація про суб&quot;єкта господ"/>
      <sheetName val="Аркуш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9">
          <cell r="H39">
            <v>6</v>
          </cell>
        </row>
        <row r="66">
          <cell r="H66">
            <v>0</v>
          </cell>
        </row>
      </sheetData>
      <sheetData sheetId="16">
        <row r="20">
          <cell r="I20">
            <v>6</v>
          </cell>
        </row>
      </sheetData>
      <sheetData sheetId="17">
        <row r="34">
          <cell r="F34" t="str">
            <v>тис. грн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28">
          <cell r="G28">
            <v>39141.629999999997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K62"/>
  <sheetViews>
    <sheetView tabSelected="1" topLeftCell="A5" workbookViewId="0">
      <selection activeCell="K35" sqref="K35"/>
    </sheetView>
  </sheetViews>
  <sheetFormatPr defaultRowHeight="14.4" x14ac:dyDescent="0.3"/>
  <cols>
    <col min="2" max="2" width="6.88671875" customWidth="1"/>
    <col min="3" max="3" width="40.33203125" customWidth="1"/>
    <col min="4" max="4" width="10.33203125" customWidth="1"/>
    <col min="5" max="5" width="10.109375" customWidth="1"/>
    <col min="6" max="6" width="11.6640625" customWidth="1"/>
    <col min="7" max="7" width="12.88671875" customWidth="1"/>
    <col min="8" max="8" width="11.33203125" customWidth="1"/>
    <col min="9" max="9" width="13" customWidth="1"/>
    <col min="10" max="10" width="10.5546875" customWidth="1"/>
    <col min="11" max="11" width="13.6640625" customWidth="1"/>
  </cols>
  <sheetData>
    <row r="4" spans="2:11" ht="15.6" x14ac:dyDescent="0.3">
      <c r="D4" s="1"/>
      <c r="E4" s="1"/>
      <c r="F4" s="2" t="s">
        <v>7</v>
      </c>
      <c r="G4" s="1"/>
      <c r="H4" s="1"/>
      <c r="I4" s="1"/>
      <c r="J4" s="1"/>
    </row>
    <row r="5" spans="2:11" x14ac:dyDescent="0.3">
      <c r="D5" s="1" t="s">
        <v>8</v>
      </c>
      <c r="E5" s="1"/>
      <c r="F5" s="1"/>
      <c r="G5" s="1"/>
      <c r="H5" s="1"/>
      <c r="I5" s="1"/>
      <c r="J5" s="1"/>
    </row>
    <row r="6" spans="2:11" x14ac:dyDescent="0.3">
      <c r="D6" s="1"/>
      <c r="E6" s="1"/>
      <c r="F6" s="1" t="s">
        <v>9</v>
      </c>
      <c r="G6" s="1"/>
      <c r="H6" s="1" t="s">
        <v>10</v>
      </c>
      <c r="I6" s="1"/>
      <c r="J6" s="1"/>
    </row>
    <row r="7" spans="2:11" x14ac:dyDescent="0.3">
      <c r="F7" t="s">
        <v>11</v>
      </c>
    </row>
    <row r="8" spans="2:11" x14ac:dyDescent="0.3">
      <c r="G8" s="3">
        <v>0.82320000000000004</v>
      </c>
      <c r="I8" s="3">
        <v>0.1447</v>
      </c>
      <c r="K8" s="3">
        <v>3.2099999999999997E-2</v>
      </c>
    </row>
    <row r="9" spans="2:11" x14ac:dyDescent="0.3">
      <c r="B9" s="5" t="s">
        <v>0</v>
      </c>
      <c r="C9" s="6"/>
      <c r="D9" s="37" t="s">
        <v>12</v>
      </c>
      <c r="E9" s="38"/>
      <c r="F9" s="39" t="s">
        <v>13</v>
      </c>
      <c r="G9" s="38"/>
      <c r="H9" s="39" t="s">
        <v>13</v>
      </c>
      <c r="I9" s="38"/>
      <c r="J9" s="39" t="s">
        <v>13</v>
      </c>
      <c r="K9" s="38"/>
    </row>
    <row r="10" spans="2:11" x14ac:dyDescent="0.3">
      <c r="B10" s="7"/>
      <c r="C10" s="6" t="s">
        <v>14</v>
      </c>
      <c r="D10" s="40" t="s">
        <v>15</v>
      </c>
      <c r="E10" s="41"/>
      <c r="F10" s="42" t="s">
        <v>5</v>
      </c>
      <c r="G10" s="41"/>
      <c r="H10" s="42" t="s">
        <v>6</v>
      </c>
      <c r="I10" s="41"/>
      <c r="J10" s="42" t="s">
        <v>16</v>
      </c>
      <c r="K10" s="41"/>
    </row>
    <row r="11" spans="2:11" x14ac:dyDescent="0.3">
      <c r="B11" s="7"/>
      <c r="C11" s="8"/>
      <c r="D11" s="9" t="s">
        <v>17</v>
      </c>
      <c r="E11" s="10"/>
      <c r="F11" s="10" t="s">
        <v>17</v>
      </c>
      <c r="G11" s="10"/>
      <c r="H11" s="10" t="s">
        <v>17</v>
      </c>
      <c r="I11" s="10"/>
      <c r="J11" s="10" t="s">
        <v>17</v>
      </c>
      <c r="K11" s="10"/>
    </row>
    <row r="12" spans="2:11" x14ac:dyDescent="0.3">
      <c r="B12" s="11"/>
      <c r="C12" s="12"/>
      <c r="D12" s="13" t="s">
        <v>18</v>
      </c>
      <c r="E12" s="14" t="s">
        <v>4</v>
      </c>
      <c r="F12" s="14" t="s">
        <v>18</v>
      </c>
      <c r="G12" s="14" t="s">
        <v>4</v>
      </c>
      <c r="H12" s="14" t="s">
        <v>18</v>
      </c>
      <c r="I12" s="14" t="s">
        <v>4</v>
      </c>
      <c r="J12" s="14" t="s">
        <v>18</v>
      </c>
      <c r="K12" s="14" t="s">
        <v>4</v>
      </c>
    </row>
    <row r="13" spans="2:11" x14ac:dyDescent="0.3"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15">
        <v>6</v>
      </c>
      <c r="H13" s="15">
        <v>7</v>
      </c>
      <c r="I13" s="15">
        <v>8</v>
      </c>
      <c r="J13" s="15">
        <v>9</v>
      </c>
      <c r="K13" s="15">
        <v>10</v>
      </c>
    </row>
    <row r="14" spans="2:11" x14ac:dyDescent="0.3">
      <c r="B14" s="15" t="s">
        <v>19</v>
      </c>
      <c r="C14" s="16" t="s">
        <v>20</v>
      </c>
      <c r="D14" s="17">
        <f>D15+D22+D23+D27+0.01</f>
        <v>62038.290000000008</v>
      </c>
      <c r="E14" s="17">
        <f t="shared" ref="E14:I14" si="0">E15+E22+E23+E27</f>
        <v>3164.2502295215754</v>
      </c>
      <c r="F14" s="17">
        <f t="shared" si="0"/>
        <v>47894.554176000005</v>
      </c>
      <c r="G14" s="17">
        <f t="shared" si="0"/>
        <v>2967.4344966542753</v>
      </c>
      <c r="H14" s="17">
        <f t="shared" si="0"/>
        <v>11669.993296000001</v>
      </c>
      <c r="I14" s="17">
        <f t="shared" si="0"/>
        <v>4112.0383777307961</v>
      </c>
      <c r="J14" s="17">
        <f>J15+J22+J23+J27+0.01</f>
        <v>2473.752528</v>
      </c>
      <c r="K14" s="17">
        <f>K15+K22+K23+K27</f>
        <v>3939.0904585987264</v>
      </c>
    </row>
    <row r="15" spans="2:11" x14ac:dyDescent="0.3">
      <c r="B15" s="18" t="s">
        <v>1</v>
      </c>
      <c r="C15" s="16" t="s">
        <v>21</v>
      </c>
      <c r="D15" s="19">
        <f>D16+D17+D19+D21</f>
        <v>41454.020000000004</v>
      </c>
      <c r="E15" s="20">
        <f>E16+E17+E19+E21</f>
        <v>2114.35376925431</v>
      </c>
      <c r="F15" s="19">
        <f t="shared" ref="F15:J15" si="1">F16+F17+F19+F21</f>
        <v>30949.583112</v>
      </c>
      <c r="G15" s="19">
        <f t="shared" si="1"/>
        <v>1917.560205204461</v>
      </c>
      <c r="H15" s="19">
        <f t="shared" si="1"/>
        <v>8691.4494269999996</v>
      </c>
      <c r="I15" s="19">
        <f>I16+I17+I19+I21-0.01</f>
        <v>3062.5162251585625</v>
      </c>
      <c r="J15" s="19">
        <f t="shared" si="1"/>
        <v>1812.9874609999999</v>
      </c>
      <c r="K15" s="19">
        <f>K16+K17+K19+K21+0.01</f>
        <v>2886.9327085987265</v>
      </c>
    </row>
    <row r="16" spans="2:11" x14ac:dyDescent="0.3">
      <c r="B16" s="18" t="s">
        <v>22</v>
      </c>
      <c r="C16" s="21" t="s">
        <v>23</v>
      </c>
      <c r="D16" s="19">
        <v>30370.61</v>
      </c>
      <c r="E16" s="19">
        <f>D16/D54*1000</f>
        <v>1549.0467203917169</v>
      </c>
      <c r="F16" s="19">
        <v>21825.72</v>
      </c>
      <c r="G16" s="19">
        <f>F16/F54*1000-0.01</f>
        <v>1352.2650929368031</v>
      </c>
      <c r="H16" s="19">
        <v>7087.68</v>
      </c>
      <c r="I16" s="19">
        <f>H16/H54*1000</f>
        <v>2497.4207188160681</v>
      </c>
      <c r="J16" s="19">
        <v>1457.21</v>
      </c>
      <c r="K16" s="19">
        <f>J16/J54*1000</f>
        <v>2320.3980891719748</v>
      </c>
    </row>
    <row r="17" spans="2:11" x14ac:dyDescent="0.3">
      <c r="B17" s="18" t="s">
        <v>24</v>
      </c>
      <c r="C17" s="21" t="s">
        <v>25</v>
      </c>
      <c r="D17" s="19">
        <v>8996.2999999999993</v>
      </c>
      <c r="E17" s="19">
        <f>D17/D54*1000</f>
        <v>458.85443231663777</v>
      </c>
      <c r="F17" s="19">
        <f>D17*G8</f>
        <v>7405.7541599999995</v>
      </c>
      <c r="G17" s="19">
        <f>F17/F54*1000</f>
        <v>458.84474349442377</v>
      </c>
      <c r="H17" s="19">
        <f>D17*I8</f>
        <v>1301.7646099999999</v>
      </c>
      <c r="I17" s="19">
        <f>H17/H54*1000</f>
        <v>458.69084214235374</v>
      </c>
      <c r="J17" s="19">
        <f>D17*K8</f>
        <v>288.78122999999994</v>
      </c>
      <c r="K17" s="19">
        <f>J17/J54*1000</f>
        <v>459.8427229299362</v>
      </c>
    </row>
    <row r="18" spans="2:11" x14ac:dyDescent="0.3">
      <c r="B18" s="22" t="s">
        <v>26</v>
      </c>
      <c r="C18" s="6" t="s">
        <v>27</v>
      </c>
      <c r="D18" s="23"/>
      <c r="E18" s="24"/>
      <c r="F18" s="24"/>
      <c r="G18" s="24"/>
      <c r="H18" s="24"/>
      <c r="I18" s="24"/>
      <c r="J18" s="24"/>
      <c r="K18" s="24"/>
    </row>
    <row r="19" spans="2:11" x14ac:dyDescent="0.3">
      <c r="B19" s="25"/>
      <c r="C19" s="12" t="s">
        <v>28</v>
      </c>
      <c r="D19" s="23">
        <v>1904.69</v>
      </c>
      <c r="E19" s="26">
        <f>D19/D54*1000</f>
        <v>97.148321942262569</v>
      </c>
      <c r="F19" s="26">
        <f>D19*G8</f>
        <v>1567.9408080000001</v>
      </c>
      <c r="G19" s="26">
        <f>F19/F54*1000</f>
        <v>97.146270631970268</v>
      </c>
      <c r="H19" s="26">
        <f>D19*I8</f>
        <v>275.60864299999997</v>
      </c>
      <c r="I19" s="26">
        <f>H19/H54*1000</f>
        <v>97.113686751233246</v>
      </c>
      <c r="J19" s="26">
        <f>D19*K8</f>
        <v>61.140548999999993</v>
      </c>
      <c r="K19" s="26">
        <f>J19/J54*1000</f>
        <v>97.357562101910815</v>
      </c>
    </row>
    <row r="20" spans="2:11" x14ac:dyDescent="0.3">
      <c r="B20" s="22" t="s">
        <v>29</v>
      </c>
      <c r="C20" s="6" t="s">
        <v>30</v>
      </c>
      <c r="D20" s="27"/>
      <c r="E20" s="24"/>
      <c r="F20" s="24"/>
      <c r="G20" s="24"/>
      <c r="H20" s="24"/>
      <c r="I20" s="24"/>
      <c r="J20" s="24"/>
      <c r="K20" s="24"/>
    </row>
    <row r="21" spans="2:11" x14ac:dyDescent="0.3">
      <c r="B21" s="25"/>
      <c r="C21" s="12" t="s">
        <v>31</v>
      </c>
      <c r="D21" s="26">
        <v>182.42</v>
      </c>
      <c r="E21" s="26">
        <f>D21/D54*1000</f>
        <v>9.3042946036927461</v>
      </c>
      <c r="F21" s="26">
        <f>D21*G8</f>
        <v>150.16814399999998</v>
      </c>
      <c r="G21" s="26">
        <f>F21/F54*1000</f>
        <v>9.3040981412639407</v>
      </c>
      <c r="H21" s="26">
        <f>D21*I8</f>
        <v>26.396173999999998</v>
      </c>
      <c r="I21" s="26">
        <f>H21/H54*1000</f>
        <v>9.3009774489076804</v>
      </c>
      <c r="J21" s="26">
        <f>D21*K8</f>
        <v>5.8556819999999989</v>
      </c>
      <c r="K21" s="26">
        <f>J21/J54*1000</f>
        <v>9.3243343949044561</v>
      </c>
    </row>
    <row r="22" spans="2:11" x14ac:dyDescent="0.3">
      <c r="B22" s="18" t="s">
        <v>32</v>
      </c>
      <c r="C22" s="16" t="s">
        <v>33</v>
      </c>
      <c r="D22" s="19">
        <v>9876.94</v>
      </c>
      <c r="E22" s="19">
        <f>D22/D54*1000</f>
        <v>503.77129450168326</v>
      </c>
      <c r="F22" s="19">
        <f>D22*G8</f>
        <v>8130.697008000001</v>
      </c>
      <c r="G22" s="19">
        <f>F22/F54*1000</f>
        <v>503.76065724907073</v>
      </c>
      <c r="H22" s="19">
        <f>D22*I8</f>
        <v>1429.1932180000001</v>
      </c>
      <c r="I22" s="19">
        <f>H22/H54*1000</f>
        <v>503.59169062720235</v>
      </c>
      <c r="J22" s="19">
        <f>D22*K8</f>
        <v>317.04977399999996</v>
      </c>
      <c r="K22" s="19">
        <f>J22/J54*1000</f>
        <v>504.85632802547764</v>
      </c>
    </row>
    <row r="23" spans="2:11" x14ac:dyDescent="0.3">
      <c r="B23" s="18" t="s">
        <v>34</v>
      </c>
      <c r="C23" s="16" t="s">
        <v>35</v>
      </c>
      <c r="D23" s="19">
        <f>D24+D25+D26</f>
        <v>4470.6400000000003</v>
      </c>
      <c r="E23" s="19">
        <f t="shared" ref="E23:K23" si="2">E24+E25+E26</f>
        <v>228.02407426298072</v>
      </c>
      <c r="F23" s="19">
        <f>F24+F25+F26</f>
        <v>3680.2308480000002</v>
      </c>
      <c r="G23" s="19">
        <f t="shared" si="2"/>
        <v>228.01925947955388</v>
      </c>
      <c r="H23" s="19">
        <f>H24+H25+H26</f>
        <v>646.90160800000001</v>
      </c>
      <c r="I23" s="19">
        <f t="shared" si="2"/>
        <v>227.94277942212824</v>
      </c>
      <c r="J23" s="19">
        <f t="shared" si="2"/>
        <v>143.50754399999997</v>
      </c>
      <c r="K23" s="19">
        <f t="shared" si="2"/>
        <v>228.5151974522293</v>
      </c>
    </row>
    <row r="24" spans="2:11" x14ac:dyDescent="0.3">
      <c r="B24" s="18" t="s">
        <v>36</v>
      </c>
      <c r="C24" s="21" t="s">
        <v>37</v>
      </c>
      <c r="D24" s="19">
        <v>2172.9299999999998</v>
      </c>
      <c r="E24" s="19">
        <f>D24/D54*1000</f>
        <v>110.82984800571252</v>
      </c>
      <c r="F24" s="19">
        <f>D24*G8</f>
        <v>1788.7559759999999</v>
      </c>
      <c r="G24" s="19">
        <f>F24/F54*1000</f>
        <v>110.82750780669144</v>
      </c>
      <c r="H24" s="19">
        <f>D24*I8</f>
        <v>314.42297099999996</v>
      </c>
      <c r="I24" s="19">
        <f>H24/H54*1000</f>
        <v>110.79033509513741</v>
      </c>
      <c r="J24" s="19">
        <f>D24*K8</f>
        <v>69.751052999999985</v>
      </c>
      <c r="K24" s="19">
        <f>J24/J54*1000</f>
        <v>111.06855573248406</v>
      </c>
    </row>
    <row r="25" spans="2:11" x14ac:dyDescent="0.3">
      <c r="B25" s="18" t="s">
        <v>38</v>
      </c>
      <c r="C25" s="21" t="s">
        <v>39</v>
      </c>
      <c r="D25" s="19">
        <v>2052.92</v>
      </c>
      <c r="E25" s="19">
        <f>D25/D54*1000</f>
        <v>104.70876262368662</v>
      </c>
      <c r="F25" s="19">
        <f>D25*G8</f>
        <v>1689.9637440000001</v>
      </c>
      <c r="G25" s="19">
        <f>F25/F54*1000</f>
        <v>104.70655167286246</v>
      </c>
      <c r="H25" s="19">
        <f>D25*I8</f>
        <v>297.057524</v>
      </c>
      <c r="I25" s="19">
        <f>H25/H54*1000</f>
        <v>104.67143199436222</v>
      </c>
      <c r="J25" s="19">
        <f>D25*K8</f>
        <v>65.898731999999995</v>
      </c>
      <c r="K25" s="19">
        <f>J25/J54*1000</f>
        <v>104.93428662420382</v>
      </c>
    </row>
    <row r="26" spans="2:11" x14ac:dyDescent="0.3">
      <c r="B26" s="18" t="s">
        <v>40</v>
      </c>
      <c r="C26" s="21" t="s">
        <v>41</v>
      </c>
      <c r="D26" s="19">
        <v>244.79</v>
      </c>
      <c r="E26" s="19">
        <f>D26/D54*1000</f>
        <v>12.485463633581556</v>
      </c>
      <c r="F26" s="19">
        <f>D26*G8</f>
        <v>201.51112800000001</v>
      </c>
      <c r="G26" s="19">
        <f>F26/F54*1000</f>
        <v>12.485200000000001</v>
      </c>
      <c r="H26" s="19">
        <f>D26*I8</f>
        <v>35.421112999999998</v>
      </c>
      <c r="I26" s="19">
        <f>H26/H54*1000</f>
        <v>12.481012332628612</v>
      </c>
      <c r="J26" s="19">
        <f>D26*K8</f>
        <v>7.8577589999999988</v>
      </c>
      <c r="K26" s="19">
        <f>J26/J54*1000</f>
        <v>12.512355095541398</v>
      </c>
    </row>
    <row r="27" spans="2:11" x14ac:dyDescent="0.3">
      <c r="B27" s="28" t="s">
        <v>42</v>
      </c>
      <c r="C27" s="16" t="s">
        <v>43</v>
      </c>
      <c r="D27" s="17">
        <v>6236.68</v>
      </c>
      <c r="E27" s="17">
        <f t="shared" ref="E27:K27" si="3">E28+E29+E30</f>
        <v>318.10109150260121</v>
      </c>
      <c r="F27" s="17">
        <f t="shared" si="3"/>
        <v>5134.043208</v>
      </c>
      <c r="G27" s="17">
        <f t="shared" si="3"/>
        <v>318.09437472118964</v>
      </c>
      <c r="H27" s="17">
        <f t="shared" si="3"/>
        <v>902.44904299999996</v>
      </c>
      <c r="I27" s="17">
        <f t="shared" si="3"/>
        <v>317.98768252290341</v>
      </c>
      <c r="J27" s="17">
        <f t="shared" si="3"/>
        <v>200.19774899999999</v>
      </c>
      <c r="K27" s="17">
        <f t="shared" si="3"/>
        <v>318.78622452229297</v>
      </c>
    </row>
    <row r="28" spans="2:11" x14ac:dyDescent="0.3">
      <c r="B28" s="18" t="s">
        <v>44</v>
      </c>
      <c r="C28" s="21" t="s">
        <v>45</v>
      </c>
      <c r="D28" s="19">
        <v>4711.25</v>
      </c>
      <c r="E28" s="19">
        <f>D28/D54*1000</f>
        <v>240.29633785575842</v>
      </c>
      <c r="F28" s="19">
        <f>D28*G8</f>
        <v>3878.3010000000004</v>
      </c>
      <c r="G28" s="19">
        <f>F28/F54*1000</f>
        <v>240.29126394052048</v>
      </c>
      <c r="H28" s="19">
        <f>D28*I8</f>
        <v>681.71787499999994</v>
      </c>
      <c r="I28" s="19">
        <f>H28/H54*1000</f>
        <v>240.21066772374911</v>
      </c>
      <c r="J28" s="19">
        <f>D28*K8</f>
        <v>151.23112499999999</v>
      </c>
      <c r="K28" s="19">
        <f>J28/J54*1000</f>
        <v>240.8138933121019</v>
      </c>
    </row>
    <row r="29" spans="2:11" x14ac:dyDescent="0.3">
      <c r="B29" s="18" t="s">
        <v>46</v>
      </c>
      <c r="C29" s="21" t="s">
        <v>47</v>
      </c>
      <c r="D29" s="19">
        <v>1036.48</v>
      </c>
      <c r="E29" s="19">
        <f>D29/D54*1000</f>
        <v>52.865449352239118</v>
      </c>
      <c r="F29" s="19">
        <f>D29*G8</f>
        <v>853.23033600000008</v>
      </c>
      <c r="G29" s="19">
        <f>F29/F54*1000</f>
        <v>52.864333085501862</v>
      </c>
      <c r="H29" s="19">
        <f>D29*I8</f>
        <v>149.978656</v>
      </c>
      <c r="I29" s="19">
        <f>H29/H54*1000</f>
        <v>52.846601832276249</v>
      </c>
      <c r="J29" s="19">
        <f>D29*K8</f>
        <v>33.271007999999995</v>
      </c>
      <c r="K29" s="19">
        <f>J29/J54*1000</f>
        <v>52.979312101910821</v>
      </c>
    </row>
    <row r="30" spans="2:11" x14ac:dyDescent="0.3">
      <c r="B30" s="18" t="s">
        <v>48</v>
      </c>
      <c r="C30" s="21" t="s">
        <v>49</v>
      </c>
      <c r="D30" s="19">
        <v>488.96</v>
      </c>
      <c r="E30" s="19">
        <f>D30/D54*1000</f>
        <v>24.939304294603691</v>
      </c>
      <c r="F30" s="19">
        <f>D30*G8</f>
        <v>402.51187199999998</v>
      </c>
      <c r="G30" s="19">
        <f>F30/F54*1000</f>
        <v>24.938777695167282</v>
      </c>
      <c r="H30" s="19">
        <f>D30*I8</f>
        <v>70.752511999999996</v>
      </c>
      <c r="I30" s="19">
        <f>H30/H54*1000</f>
        <v>24.93041296687808</v>
      </c>
      <c r="J30" s="19">
        <f>D30*K8</f>
        <v>15.695615999999998</v>
      </c>
      <c r="K30" s="19">
        <f>J30/J54*1000</f>
        <v>24.993019108280251</v>
      </c>
    </row>
    <row r="31" spans="2:11" x14ac:dyDescent="0.3">
      <c r="B31" s="18" t="s">
        <v>50</v>
      </c>
      <c r="C31" s="16" t="s">
        <v>51</v>
      </c>
      <c r="D31" s="17">
        <v>2278.63</v>
      </c>
      <c r="E31" s="17">
        <f t="shared" ref="E31:K31" si="4">E32+E33+E34</f>
        <v>116.22054473120474</v>
      </c>
      <c r="F31" s="17">
        <f>F32+F33+F34+0.01</f>
        <v>1875.7699840000002</v>
      </c>
      <c r="G31" s="17">
        <f t="shared" si="4"/>
        <v>116.21809070631971</v>
      </c>
      <c r="H31" s="17">
        <f t="shared" si="4"/>
        <v>329.71631400000001</v>
      </c>
      <c r="I31" s="17">
        <f t="shared" si="4"/>
        <v>116.17910993657506</v>
      </c>
      <c r="J31" s="17">
        <f t="shared" si="4"/>
        <v>73.14370199999999</v>
      </c>
      <c r="K31" s="17">
        <f t="shared" si="4"/>
        <v>116.47086305732483</v>
      </c>
    </row>
    <row r="32" spans="2:11" x14ac:dyDescent="0.3">
      <c r="B32" s="18" t="s">
        <v>52</v>
      </c>
      <c r="C32" s="21" t="s">
        <v>45</v>
      </c>
      <c r="D32" s="29">
        <v>1590.19</v>
      </c>
      <c r="E32" s="19">
        <f>D32/D54*1000</f>
        <v>81.10731408752423</v>
      </c>
      <c r="F32" s="19">
        <f>D32*G8</f>
        <v>1309.0444080000002</v>
      </c>
      <c r="G32" s="19">
        <f>F32/F54*1000</f>
        <v>81.10560148698886</v>
      </c>
      <c r="H32" s="19">
        <f>D32*I8</f>
        <v>230.100493</v>
      </c>
      <c r="I32" s="19">
        <f>H32/H54*1000</f>
        <v>81.078397815362933</v>
      </c>
      <c r="J32" s="19">
        <f>D32*K8</f>
        <v>51.045098999999993</v>
      </c>
      <c r="K32" s="19">
        <f>J32/J54*1000</f>
        <v>81.282004777070057</v>
      </c>
    </row>
    <row r="33" spans="2:11" x14ac:dyDescent="0.3">
      <c r="B33" s="18" t="s">
        <v>53</v>
      </c>
      <c r="C33" s="21" t="s">
        <v>47</v>
      </c>
      <c r="D33" s="19">
        <v>350.74</v>
      </c>
      <c r="E33" s="19">
        <f>D33/D54*1000</f>
        <v>17.889421605630929</v>
      </c>
      <c r="F33" s="19">
        <f>D33*G8</f>
        <v>288.72916800000002</v>
      </c>
      <c r="G33" s="19">
        <f>F33/F54*1000</f>
        <v>17.889043866171004</v>
      </c>
      <c r="H33" s="19">
        <f>D33*I8</f>
        <v>50.752077999999997</v>
      </c>
      <c r="I33" s="19">
        <f>H33/H54*1000</f>
        <v>17.883043692741367</v>
      </c>
      <c r="J33" s="19">
        <f>D33*K8</f>
        <v>11.258754</v>
      </c>
      <c r="K33" s="19">
        <f>J33/J54*1000</f>
        <v>17.927952229299361</v>
      </c>
    </row>
    <row r="34" spans="2:11" x14ac:dyDescent="0.3">
      <c r="B34" s="18" t="s">
        <v>54</v>
      </c>
      <c r="C34" s="21" t="s">
        <v>49</v>
      </c>
      <c r="D34" s="19">
        <v>337.69</v>
      </c>
      <c r="E34" s="19">
        <f>D34/D54*1000</f>
        <v>17.223809038049577</v>
      </c>
      <c r="F34" s="19">
        <f>D34*G8</f>
        <v>277.98640800000004</v>
      </c>
      <c r="G34" s="19">
        <f>F34/F54*1000</f>
        <v>17.223445353159853</v>
      </c>
      <c r="H34" s="19">
        <f>D34*I8</f>
        <v>48.863742999999999</v>
      </c>
      <c r="I34" s="19">
        <f>H34/H54*1000</f>
        <v>17.217668428470756</v>
      </c>
      <c r="J34" s="19">
        <f>D34*K8</f>
        <v>10.839848999999999</v>
      </c>
      <c r="K34" s="19">
        <f>J34/J54*1000</f>
        <v>17.260906050955413</v>
      </c>
    </row>
    <row r="35" spans="2:11" x14ac:dyDescent="0.3">
      <c r="B35" s="18" t="s">
        <v>55</v>
      </c>
      <c r="C35" s="16" t="s">
        <v>56</v>
      </c>
      <c r="D35" s="17">
        <v>2317.7199999999998</v>
      </c>
      <c r="E35" s="17">
        <f t="shared" ref="E35:K35" si="5">E36+E37+E38</f>
        <v>118.21483219422625</v>
      </c>
      <c r="F35" s="17">
        <f t="shared" si="5"/>
        <v>1907.9471040000003</v>
      </c>
      <c r="G35" s="17">
        <f t="shared" si="5"/>
        <v>118.21233605947958</v>
      </c>
      <c r="H35" s="17">
        <f t="shared" si="5"/>
        <v>335.38408399999997</v>
      </c>
      <c r="I35" s="17">
        <f>I36+I37+I38-0.01</f>
        <v>118.16621000704721</v>
      </c>
      <c r="J35" s="17">
        <f t="shared" si="5"/>
        <v>74.398811999999992</v>
      </c>
      <c r="K35" s="17">
        <f t="shared" si="5"/>
        <v>118.46944585987259</v>
      </c>
    </row>
    <row r="36" spans="2:11" x14ac:dyDescent="0.3">
      <c r="B36" s="18" t="s">
        <v>57</v>
      </c>
      <c r="C36" s="21" t="s">
        <v>45</v>
      </c>
      <c r="D36" s="19">
        <v>1541.91</v>
      </c>
      <c r="E36" s="19">
        <f>D36/D54*1000</f>
        <v>78.644802611445471</v>
      </c>
      <c r="F36" s="19">
        <f>D36*G8</f>
        <v>1269.3003120000001</v>
      </c>
      <c r="G36" s="19">
        <f>F36/F54*1000</f>
        <v>78.64314200743496</v>
      </c>
      <c r="H36" s="19">
        <f>D36*I8</f>
        <v>223.11437699999999</v>
      </c>
      <c r="I36" s="19">
        <f>H36/H54*1000</f>
        <v>78.616764270613103</v>
      </c>
      <c r="J36" s="19">
        <f>D36*K8</f>
        <v>49.495310999999994</v>
      </c>
      <c r="K36" s="19">
        <f>J36/J54*1000</f>
        <v>78.814189490445841</v>
      </c>
    </row>
    <row r="37" spans="2:11" x14ac:dyDescent="0.3">
      <c r="B37" s="18" t="s">
        <v>58</v>
      </c>
      <c r="C37" s="21" t="s">
        <v>47</v>
      </c>
      <c r="D37" s="19">
        <v>339.22</v>
      </c>
      <c r="E37" s="19">
        <f>D37/D54*1000</f>
        <v>17.301846373559115</v>
      </c>
      <c r="F37" s="19">
        <f>D37*G8</f>
        <v>279.24590400000005</v>
      </c>
      <c r="G37" s="19">
        <f>F37/F54*1000</f>
        <v>17.301481040892195</v>
      </c>
      <c r="H37" s="19">
        <f>D37*I8</f>
        <v>49.085134000000004</v>
      </c>
      <c r="I37" s="19">
        <f>H37/H54*1000</f>
        <v>17.295677942212826</v>
      </c>
      <c r="J37" s="19">
        <f>D37*K8</f>
        <v>10.888961999999999</v>
      </c>
      <c r="K37" s="19">
        <f>J37/J54*1000</f>
        <v>17.339111464968152</v>
      </c>
    </row>
    <row r="38" spans="2:11" x14ac:dyDescent="0.3">
      <c r="B38" s="18" t="s">
        <v>59</v>
      </c>
      <c r="C38" s="21" t="s">
        <v>49</v>
      </c>
      <c r="D38" s="19">
        <v>436.59</v>
      </c>
      <c r="E38" s="19">
        <f>D38/D54*1000</f>
        <v>22.268183209221664</v>
      </c>
      <c r="F38" s="19">
        <f>D38*G8</f>
        <v>359.40088800000001</v>
      </c>
      <c r="G38" s="19">
        <f>F38/F54*1000</f>
        <v>22.267713011152416</v>
      </c>
      <c r="H38" s="19">
        <f>D38*I8+0.01</f>
        <v>63.184572999999993</v>
      </c>
      <c r="I38" s="19">
        <f>H38/H54*1000</f>
        <v>22.26376779422128</v>
      </c>
      <c r="J38" s="19">
        <f>D38*K8</f>
        <v>14.014538999999997</v>
      </c>
      <c r="K38" s="19">
        <f>J38/J54*1000</f>
        <v>22.316144904458593</v>
      </c>
    </row>
    <row r="39" spans="2:11" x14ac:dyDescent="0.3">
      <c r="B39" s="18" t="s">
        <v>60</v>
      </c>
      <c r="C39" s="16" t="s">
        <v>61</v>
      </c>
      <c r="D39" s="17">
        <v>0</v>
      </c>
      <c r="E39" s="17">
        <f>D39/D54*1000</f>
        <v>0</v>
      </c>
      <c r="F39" s="17">
        <v>0</v>
      </c>
      <c r="G39" s="17">
        <v>0</v>
      </c>
      <c r="H39" s="17">
        <f>D39*I8</f>
        <v>0</v>
      </c>
      <c r="I39" s="17">
        <f>H39/H54*1000</f>
        <v>0</v>
      </c>
      <c r="J39" s="17">
        <f>D39*K8</f>
        <v>0</v>
      </c>
      <c r="K39" s="17">
        <f>J39/J54*1000</f>
        <v>0</v>
      </c>
    </row>
    <row r="40" spans="2:11" x14ac:dyDescent="0.3">
      <c r="B40" s="18" t="s">
        <v>62</v>
      </c>
      <c r="C40" s="16" t="s">
        <v>63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</row>
    <row r="41" spans="2:11" x14ac:dyDescent="0.3">
      <c r="B41" s="18" t="s">
        <v>64</v>
      </c>
      <c r="C41" s="16" t="s">
        <v>65</v>
      </c>
      <c r="D41" s="17">
        <f>F41+H41+J41</f>
        <v>66634.64</v>
      </c>
      <c r="E41" s="17">
        <v>3398.69</v>
      </c>
      <c r="F41" s="17">
        <f>F14+F31+F35+F39+F40+0.21</f>
        <v>51678.481264000002</v>
      </c>
      <c r="G41" s="17">
        <f>G14+G31+G35+G39+G40+0.03</f>
        <v>3201.894923420075</v>
      </c>
      <c r="H41" s="17">
        <f>H14+H31+H35+H39+H40+0.63</f>
        <v>12335.723693999998</v>
      </c>
      <c r="I41" s="17">
        <f>I14+I31+I35+I39+I40+0.25</f>
        <v>4346.6336976744178</v>
      </c>
      <c r="J41" s="17">
        <f>J14+J31+J35+J39+J40-0.82-0.04</f>
        <v>2620.4350419999996</v>
      </c>
      <c r="K41" s="17">
        <f>K14+K31+K35+K39+K40-1.35</f>
        <v>4172.6807675159234</v>
      </c>
    </row>
    <row r="42" spans="2:11" x14ac:dyDescent="0.3">
      <c r="B42" s="18" t="s">
        <v>66</v>
      </c>
      <c r="C42" s="16" t="s">
        <v>67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</row>
    <row r="43" spans="2:11" x14ac:dyDescent="0.3">
      <c r="B43" s="18" t="s">
        <v>68</v>
      </c>
      <c r="C43" s="16" t="s">
        <v>69</v>
      </c>
      <c r="D43" s="17">
        <v>2665.39</v>
      </c>
      <c r="E43" s="17">
        <f>D43/D54*1000</f>
        <v>135.9476690808936</v>
      </c>
      <c r="F43" s="17">
        <v>2067.14</v>
      </c>
      <c r="G43" s="17">
        <f>F43/F54*1000</f>
        <v>128.07558859975217</v>
      </c>
      <c r="H43" s="17">
        <v>493.43</v>
      </c>
      <c r="I43" s="17">
        <f>H43/H54*1000</f>
        <v>173.86539816772375</v>
      </c>
      <c r="J43" s="17">
        <v>104.82</v>
      </c>
      <c r="K43" s="17">
        <f>J43/J54*1000+0.01</f>
        <v>166.92082802547768</v>
      </c>
    </row>
    <row r="44" spans="2:11" x14ac:dyDescent="0.3">
      <c r="B44" s="18" t="s">
        <v>70</v>
      </c>
      <c r="C44" s="31" t="s">
        <v>71</v>
      </c>
      <c r="D44" s="19">
        <f t="shared" ref="D44:K44" si="6">D43*0.18</f>
        <v>479.77019999999993</v>
      </c>
      <c r="E44" s="19">
        <f t="shared" si="6"/>
        <v>24.470580434560848</v>
      </c>
      <c r="F44" s="19">
        <f t="shared" si="6"/>
        <v>372.08519999999999</v>
      </c>
      <c r="G44" s="19">
        <f t="shared" si="6"/>
        <v>23.05360594795539</v>
      </c>
      <c r="H44" s="19">
        <f t="shared" si="6"/>
        <v>88.817399999999992</v>
      </c>
      <c r="I44" s="19">
        <f t="shared" si="6"/>
        <v>31.295771670190273</v>
      </c>
      <c r="J44" s="19">
        <f t="shared" si="6"/>
        <v>18.867599999999999</v>
      </c>
      <c r="K44" s="19">
        <f t="shared" si="6"/>
        <v>30.045749044585982</v>
      </c>
    </row>
    <row r="45" spans="2:11" x14ac:dyDescent="0.3">
      <c r="B45" s="18" t="s">
        <v>72</v>
      </c>
      <c r="C45" s="31" t="s">
        <v>73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</row>
    <row r="46" spans="2:11" x14ac:dyDescent="0.3">
      <c r="B46" s="22" t="s">
        <v>2</v>
      </c>
      <c r="C46" s="32" t="s">
        <v>74</v>
      </c>
      <c r="D46" s="27"/>
      <c r="E46" s="27"/>
      <c r="F46" s="27"/>
      <c r="G46" s="27"/>
      <c r="H46" s="27"/>
      <c r="I46" s="27"/>
      <c r="J46" s="27"/>
      <c r="K46" s="27"/>
    </row>
    <row r="47" spans="2:11" x14ac:dyDescent="0.3">
      <c r="B47" s="25"/>
      <c r="C47" s="33" t="s">
        <v>75</v>
      </c>
      <c r="D47" s="26">
        <f>[1]транспортування!H66</f>
        <v>0</v>
      </c>
      <c r="E47" s="26">
        <f>D47/D54*1000</f>
        <v>0</v>
      </c>
      <c r="F47" s="26">
        <f>D47*G8</f>
        <v>0</v>
      </c>
      <c r="G47" s="26">
        <f>F47/F54*1000</f>
        <v>0</v>
      </c>
      <c r="H47" s="26">
        <f>D47*I8</f>
        <v>0</v>
      </c>
      <c r="I47" s="26">
        <f>H47/H54*1000</f>
        <v>0</v>
      </c>
      <c r="J47" s="26">
        <f>D47*K8</f>
        <v>0</v>
      </c>
      <c r="K47" s="26">
        <f>J47/J54*1000</f>
        <v>0</v>
      </c>
    </row>
    <row r="48" spans="2:11" x14ac:dyDescent="0.3">
      <c r="B48" s="18" t="s">
        <v>3</v>
      </c>
      <c r="C48" s="31" t="s">
        <v>76</v>
      </c>
      <c r="D48" s="19">
        <f>D43-D44-D47</f>
        <v>2185.6197999999999</v>
      </c>
      <c r="E48" s="19">
        <f>E43-E44</f>
        <v>111.47708864633276</v>
      </c>
      <c r="F48" s="19">
        <f t="shared" ref="F48:K48" si="7">F43-F44</f>
        <v>1695.0547999999999</v>
      </c>
      <c r="G48" s="19">
        <f t="shared" si="7"/>
        <v>105.02198265179678</v>
      </c>
      <c r="H48" s="19">
        <f t="shared" si="7"/>
        <v>404.61260000000004</v>
      </c>
      <c r="I48" s="19">
        <f t="shared" si="7"/>
        <v>142.56962649753348</v>
      </c>
      <c r="J48" s="19">
        <f t="shared" si="7"/>
        <v>85.952399999999997</v>
      </c>
      <c r="K48" s="19">
        <f t="shared" si="7"/>
        <v>136.87507898089169</v>
      </c>
    </row>
    <row r="49" spans="2:11" x14ac:dyDescent="0.3">
      <c r="B49" s="22" t="s">
        <v>77</v>
      </c>
      <c r="C49" s="34" t="s">
        <v>78</v>
      </c>
      <c r="D49" s="27"/>
      <c r="E49" s="27"/>
      <c r="F49" s="27"/>
      <c r="G49" s="27"/>
      <c r="H49" s="27"/>
      <c r="I49" s="27"/>
      <c r="J49" s="27"/>
      <c r="K49" s="27"/>
    </row>
    <row r="50" spans="2:11" x14ac:dyDescent="0.3">
      <c r="B50" s="25"/>
      <c r="C50" s="35" t="s">
        <v>79</v>
      </c>
      <c r="D50" s="36">
        <f>D41+D43</f>
        <v>69300.03</v>
      </c>
      <c r="E50" s="36">
        <f>D50/D54*1000</f>
        <v>3534.6337855758443</v>
      </c>
      <c r="F50" s="36">
        <f>F41+F43</f>
        <v>53745.621264000001</v>
      </c>
      <c r="G50" s="36">
        <f>G41+G43-0.01</f>
        <v>3329.9605120198271</v>
      </c>
      <c r="H50" s="36">
        <f>H41+H43</f>
        <v>12829.153693999999</v>
      </c>
      <c r="I50" s="36">
        <f>I41+I43-0.01</f>
        <v>4520.4890958421411</v>
      </c>
      <c r="J50" s="36">
        <f>J41+J43</f>
        <v>2725.2550419999998</v>
      </c>
      <c r="K50" s="36">
        <f>K41+K43-0.02</f>
        <v>4339.5815955414009</v>
      </c>
    </row>
    <row r="51" spans="2:11" x14ac:dyDescent="0.3">
      <c r="B51" s="18" t="s">
        <v>80</v>
      </c>
      <c r="C51" s="16" t="s">
        <v>81</v>
      </c>
      <c r="D51" s="17">
        <f>D50/D54*1000</f>
        <v>3534.6337855758443</v>
      </c>
      <c r="E51" s="17"/>
      <c r="F51" s="17">
        <f>F50/F54*1000</f>
        <v>3329.9641427509291</v>
      </c>
      <c r="G51" s="17"/>
      <c r="H51" s="17">
        <f>H50/H54*1000</f>
        <v>4520.4910831571524</v>
      </c>
      <c r="I51" s="17"/>
      <c r="J51" s="17">
        <f>J50/J54*1000</f>
        <v>4339.5780923566872</v>
      </c>
      <c r="K51" s="17"/>
    </row>
    <row r="52" spans="2:11" x14ac:dyDescent="0.3">
      <c r="B52" s="18" t="s">
        <v>82</v>
      </c>
      <c r="C52" s="16" t="s">
        <v>83</v>
      </c>
      <c r="D52" s="17">
        <f>D16*100/D41</f>
        <v>45.57781058020273</v>
      </c>
      <c r="E52" s="17"/>
      <c r="F52" s="17">
        <f>F16*100/F41-0.01</f>
        <v>42.223671474405577</v>
      </c>
      <c r="G52" s="17"/>
      <c r="H52" s="17">
        <f>H16*100/H50</f>
        <v>55.246668401165081</v>
      </c>
      <c r="I52" s="17"/>
      <c r="J52" s="17">
        <f>J16*100/J41</f>
        <v>55.60946852885202</v>
      </c>
      <c r="K52" s="17"/>
    </row>
    <row r="53" spans="2:11" x14ac:dyDescent="0.3">
      <c r="B53" s="18" t="s">
        <v>84</v>
      </c>
      <c r="C53" s="16" t="s">
        <v>85</v>
      </c>
      <c r="D53" s="17">
        <f>100-D52</f>
        <v>54.42218941979727</v>
      </c>
      <c r="E53" s="17"/>
      <c r="F53" s="17">
        <f>100-F52</f>
        <v>57.776328525594423</v>
      </c>
      <c r="G53" s="17"/>
      <c r="H53" s="17">
        <f>100-H52</f>
        <v>44.753331598834919</v>
      </c>
      <c r="I53" s="17"/>
      <c r="J53" s="17">
        <f>100-J52</f>
        <v>44.39053147114798</v>
      </c>
      <c r="K53" s="17"/>
    </row>
    <row r="54" spans="2:11" x14ac:dyDescent="0.3">
      <c r="B54" s="18" t="s">
        <v>86</v>
      </c>
      <c r="C54" s="16" t="s">
        <v>87</v>
      </c>
      <c r="D54" s="30">
        <v>19606</v>
      </c>
      <c r="E54" s="30"/>
      <c r="F54" s="30">
        <v>16140</v>
      </c>
      <c r="G54" s="30"/>
      <c r="H54" s="30">
        <v>2838</v>
      </c>
      <c r="I54" s="30"/>
      <c r="J54" s="30">
        <v>628</v>
      </c>
      <c r="K54" s="30"/>
    </row>
    <row r="55" spans="2:11" x14ac:dyDescent="0.3">
      <c r="B55" s="18" t="s">
        <v>88</v>
      </c>
      <c r="C55" s="16" t="s">
        <v>89</v>
      </c>
      <c r="D55" s="30">
        <f>D50/D41*100-100</f>
        <v>4.0000066031721673</v>
      </c>
      <c r="E55" s="30">
        <f>E50/E41*100-100</f>
        <v>3.9998877678118419</v>
      </c>
      <c r="F55" s="30">
        <v>4</v>
      </c>
      <c r="G55" s="30">
        <v>4</v>
      </c>
      <c r="H55" s="30">
        <v>4</v>
      </c>
      <c r="I55" s="30">
        <v>4</v>
      </c>
      <c r="J55" s="30">
        <v>4</v>
      </c>
      <c r="K55" s="30">
        <v>4</v>
      </c>
    </row>
    <row r="56" spans="2:11" x14ac:dyDescent="0.3">
      <c r="B56" s="4"/>
    </row>
    <row r="57" spans="2:11" x14ac:dyDescent="0.3">
      <c r="B57" s="4"/>
    </row>
    <row r="58" spans="2:11" x14ac:dyDescent="0.3">
      <c r="B58" s="4"/>
    </row>
    <row r="59" spans="2:11" x14ac:dyDescent="0.3">
      <c r="B59" s="4"/>
      <c r="D59" s="1" t="s">
        <v>90</v>
      </c>
      <c r="E59" s="1"/>
      <c r="F59" s="1"/>
      <c r="G59" s="1"/>
      <c r="H59" s="1"/>
      <c r="I59" s="1"/>
      <c r="J59" s="1"/>
    </row>
    <row r="60" spans="2:11" x14ac:dyDescent="0.3">
      <c r="B60" s="4"/>
      <c r="D60" s="1"/>
      <c r="E60" s="1"/>
      <c r="F60" s="1"/>
      <c r="G60" s="1"/>
      <c r="H60" s="1"/>
      <c r="I60" s="1"/>
      <c r="J60" s="1"/>
    </row>
    <row r="61" spans="2:11" x14ac:dyDescent="0.3">
      <c r="B61" s="4"/>
      <c r="D61" s="1"/>
      <c r="E61" s="1"/>
      <c r="F61" s="1"/>
      <c r="G61" s="1"/>
      <c r="H61" s="1"/>
      <c r="I61" s="1"/>
      <c r="J61" s="1"/>
    </row>
    <row r="62" spans="2:11" x14ac:dyDescent="0.3">
      <c r="B62" s="4"/>
      <c r="D62" s="1" t="s">
        <v>91</v>
      </c>
      <c r="E62" s="1"/>
      <c r="F62" s="1"/>
      <c r="G62" s="1"/>
      <c r="H62" s="1"/>
      <c r="I62" s="1"/>
      <c r="J62" s="1"/>
    </row>
  </sheetData>
  <mergeCells count="8">
    <mergeCell ref="D9:E9"/>
    <mergeCell ref="F9:G9"/>
    <mergeCell ref="H9:I9"/>
    <mergeCell ref="J9:K9"/>
    <mergeCell ref="D10:E10"/>
    <mergeCell ref="F10:G10"/>
    <mergeCell ref="H10:I10"/>
    <mergeCell ref="J10:K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Структура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2026-02-05T07:40:00Z</dcterms:modified>
</cp:coreProperties>
</file>